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resourcerecycling.sharepoint.com/sites/Michigan-Recycling-Coalition/Shared Documents/Make the Case for Rec Mkt Dev/03 - Project Working Files/"/>
    </mc:Choice>
  </mc:AlternateContent>
  <xr:revisionPtr revIDLastSave="105" documentId="8_{A665CD5C-F736-43F7-BA61-84886D9FC66F}" xr6:coauthVersionLast="47" xr6:coauthVersionMax="47" xr10:uidLastSave="{E2CAF560-5DC8-4B7D-862D-E75FB3E54638}"/>
  <bookViews>
    <workbookView xWindow="28680" yWindow="-120" windowWidth="24240" windowHeight="13140" tabRatio="825" xr2:uid="{8E66647E-9BD2-49EA-828D-40C2C4AA74F7}"/>
  </bookViews>
  <sheets>
    <sheet name="Instructions" sheetId="1" r:id="rId1"/>
    <sheet name="Input" sheetId="2" r:id="rId2"/>
    <sheet name="Results - Collection" sheetId="3" r:id="rId3"/>
    <sheet name="Results - Hub and Spoke" sheetId="4" r:id="rId4"/>
    <sheet name="Outputs" sheetId="6" state="hidden" r:id="rId5"/>
    <sheet name="AssumptionTables" sheetId="8" state="hidden" r:id="rId6"/>
    <sheet name="DropDowns_LookUps" sheetId="7" state="hidden" r:id="rId7"/>
    <sheet name="TonnageImpacts" sheetId="10" state="hidden" r:id="rId8"/>
    <sheet name="TruckCosts" sheetId="12" state="hidden" r:id="rId9"/>
    <sheet name="CollectionStaffingCosts" sheetId="13" state="hidden" r:id="rId10"/>
    <sheet name="CollectionDisposalSavings" sheetId="14" state="hidden" r:id="rId11"/>
    <sheet name="ContainerCosts" sheetId="11" state="hidden" r:id="rId12"/>
    <sheet name="ASP Model_YW" sheetId="17" state="hidden" r:id="rId13"/>
    <sheet name="Windrow Model_YW" sheetId="22" state="hidden" r:id="rId14"/>
    <sheet name="ASP Model_YW+FW" sheetId="21" state="hidden" r:id="rId15"/>
    <sheet name="Windrow Model_YW+FW" sheetId="18" state="hidden" r:id="rId16"/>
    <sheet name="Compost Equip" sheetId="19" state="hidden" r:id="rId17"/>
    <sheet name="Results - Transfer &amp; Processing" sheetId="5" state="hidden" r:id="rId18"/>
    <sheet name="DropOff Capital Cost" sheetId="16" state="hidden" r:id="rId19"/>
    <sheet name="Transfer &amp; MRF Assumptions" sheetId="9" state="hidden" r:id="rId20"/>
    <sheet name="Transfer &amp; MRF Outputs" sheetId="15"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1st_Shift_capacity">'Transfer &amp; MRF Assumptions'!#REF!</definedName>
    <definedName name="_2nd_Shift_capacity">'Transfer &amp; MRF Assumptions'!#REF!</definedName>
    <definedName name="_xlnm._FilterDatabase" localSheetId="6" hidden="1">DropDowns_LookUps!$A$1:$A$9</definedName>
    <definedName name="ACR">AssumptionTables!#REF!</definedName>
    <definedName name="ACREtoSF" localSheetId="12">[1]Assumptions!$D$22</definedName>
    <definedName name="ACREtoSF" localSheetId="14">[1]Assumptions!$D$22</definedName>
    <definedName name="ACREtoSF" localSheetId="13">[1]Assumptions!$D$22</definedName>
    <definedName name="ACREtoSF" localSheetId="15">[1]Assumptions!$D$22</definedName>
    <definedName name="ACREtoSF">[2]Assumptions!$D$22</definedName>
    <definedName name="Ad_2">#REF!</definedName>
    <definedName name="ad_Under_Construction_Projects" localSheetId="12">#REF!</definedName>
    <definedName name="ad_Under_Construction_Projects" localSheetId="14">#REF!</definedName>
    <definedName name="ad_Under_Construction_Projects">#REF!</definedName>
    <definedName name="ae_The_Rest" localSheetId="12">#REF!</definedName>
    <definedName name="ae_The_Rest" localSheetId="14">#REF!</definedName>
    <definedName name="ae_The_Rest">#REF!</definedName>
    <definedName name="af_Dairy" localSheetId="12">#REF!</definedName>
    <definedName name="af_Dairy" localSheetId="14">#REF!</definedName>
    <definedName name="af_Dairy">#REF!</definedName>
    <definedName name="ag_Beef_Cattle" localSheetId="12">#REF!</definedName>
    <definedName name="ag_Beef_Cattle" localSheetId="14">#REF!</definedName>
    <definedName name="ag_Beef_Cattle">#REF!</definedName>
    <definedName name="ah_Swine" localSheetId="12">#REF!</definedName>
    <definedName name="ah_Swine" localSheetId="14">#REF!</definedName>
    <definedName name="ah_Swine">#REF!</definedName>
    <definedName name="ai_Poultry" localSheetId="12">#REF!</definedName>
    <definedName name="ai_Poultry" localSheetId="14">#REF!</definedName>
    <definedName name="ai_Poultry">#REF!</definedName>
    <definedName name="Annual_Inflation_Rate">'Transfer &amp; MRF Assumptions'!#REF!</definedName>
    <definedName name="Antrim_Com">[3]Commercial!$BE$4</definedName>
    <definedName name="Antrim_Comyw">[3]Commercial!$BA$4</definedName>
    <definedName name="Antrim_Food">[3]Commercial!$BB$4</definedName>
    <definedName name="aseptic_test" localSheetId="17">#REF!</definedName>
    <definedName name="Baling_Wire_Costs" localSheetId="17">'Transfer &amp; MRF Assumptions'!#REF!</definedName>
    <definedName name="basket_price" localSheetId="17">'Transfer &amp; MRF Assumptions'!#REF!</definedName>
    <definedName name="bb_materials" localSheetId="17">#REF!</definedName>
    <definedName name="bd_ALL_PROJECTS_FINAL_for_XLS" localSheetId="12">#REF!</definedName>
    <definedName name="bd_ALL_PROJECTS_FINAL_for_XLS" localSheetId="14">#REF!</definedName>
    <definedName name="bd_ALL_PROJECTS_FINAL_for_XLS">#REF!</definedName>
    <definedName name="bd_OPERATIONAL_PROJECTS_FINAL_for_XLS" localSheetId="12">#REF!</definedName>
    <definedName name="bd_OPERATIONAL_PROJECTS_FINAL_for_XLS" localSheetId="14">#REF!</definedName>
    <definedName name="bd_OPERATIONAL_PROJECTS_FINAL_for_XLS">#REF!</definedName>
    <definedName name="Benefits_Fringes">'Transfer &amp; MRF Assumptions'!$B$13</definedName>
    <definedName name="Benzie_ComYW">[3]Commercial!$BA$5</definedName>
    <definedName name="Benzie_Food">[3]Commercial!$BB$5</definedName>
    <definedName name="Building_Cost_Amortisation" localSheetId="20">'Transfer &amp; MRF Assumptions'!$B$18</definedName>
    <definedName name="Building_Cost_Amortisation">'Transfer &amp; MRF Assumptions'!$B$18</definedName>
    <definedName name="Building_Cost_Sensitivity" localSheetId="20">'Transfer &amp; MRF Assumptions'!$D$18</definedName>
    <definedName name="Building_Cost_Sensitivity">'Transfer &amp; MRF Assumptions'!$D$18</definedName>
    <definedName name="Building_insurance_cost_per__100_000" localSheetId="20">'Transfer &amp; MRF Assumptions'!#REF!</definedName>
    <definedName name="Building_insurance_cost_per__100_000">'Transfer &amp; MRF Assumptions'!#REF!</definedName>
    <definedName name="Building_Maintenance" localSheetId="20">'Transfer &amp; MRF Assumptions'!$B$23</definedName>
    <definedName name="Building_Maintenance">'Transfer &amp; MRF Assumptions'!$B$23</definedName>
    <definedName name="Building_Maintenance_Costs">'Transfer &amp; MRF Assumptions'!$D$23</definedName>
    <definedName name="Building_utilities">'Transfer &amp; MRF Assumptions'!$D$24</definedName>
    <definedName name="Building_Utility" localSheetId="20">'Transfer &amp; MRF Assumptions'!$B$24</definedName>
    <definedName name="Building_Utility">'Transfer &amp; MRF Assumptions'!$B$24</definedName>
    <definedName name="Capital_Inflation_Rate">'Transfer &amp; MRF Assumptions'!#REF!</definedName>
    <definedName name="category">'[4]Dropdown Options'!$B$14:$B$23</definedName>
    <definedName name="Charle_ComYW">[3]Commercial!$BA$6</definedName>
    <definedName name="Charle_Food">[3]Commercial!$BB$6</definedName>
    <definedName name="ComE1">'[5]1. Outline &amp; Basic Assumptions'!$B$28</definedName>
    <definedName name="ComE2">'[5]1. Outline &amp; Basic Assumptions'!$C$28</definedName>
    <definedName name="COMMFW_PART">'[6]Basic Estimate'!$B$17:$D$17</definedName>
    <definedName name="Container_Price" localSheetId="17">'Transfer &amp; MRF Assumptions'!#REF!</definedName>
    <definedName name="Cost_of_Maintenance" localSheetId="17">#REF!</definedName>
    <definedName name="CYtoSF" localSheetId="12">[1]Assumptions!$D$12</definedName>
    <definedName name="CYtoSF" localSheetId="14">[1]Assumptions!$D$12</definedName>
    <definedName name="CYtoSF" localSheetId="13">[1]Assumptions!$D$12</definedName>
    <definedName name="CYtoSF" localSheetId="15">[1]Assumptions!$D$12</definedName>
    <definedName name="CYtoSF">[2]Assumptions!$D$12</definedName>
    <definedName name="DCompost" localSheetId="12">[1]Assumptions!$D$20</definedName>
    <definedName name="DCompost" localSheetId="14">[1]Assumptions!$D$20</definedName>
    <definedName name="DCompost" localSheetId="13">[1]Assumptions!$D$20</definedName>
    <definedName name="DCompost" localSheetId="15">[1]Assumptions!$D$20</definedName>
    <definedName name="DCompost">[2]Assumptions!$D$20</definedName>
    <definedName name="DensityDrop" localSheetId="19">DropDowns_LookUps!$E$2:$E$6</definedName>
    <definedName name="DensityDrop" localSheetId="20">DropDowns_LookUps!$E$2:$E$6</definedName>
    <definedName name="DensityDrop">DropDowns_LookUps!$E$2:$E$6</definedName>
    <definedName name="Dfood" localSheetId="12">[1]Assumptions!$D$19</definedName>
    <definedName name="Dfood" localSheetId="14">[1]Assumptions!$D$19</definedName>
    <definedName name="Dfood" localSheetId="13">[1]Assumptions!$D$19</definedName>
    <definedName name="Dfood" localSheetId="15">[1]Assumptions!$D$19</definedName>
    <definedName name="Dfood">[2]Assumptions!$D$19</definedName>
    <definedName name="DH_Curbside_Cost_perton_per_mile">'Transfer &amp; MRF Assumptions'!#REF!</definedName>
    <definedName name="Discount">#REF!</definedName>
    <definedName name="DistancetoLF" localSheetId="19">DropDowns_LookUps!$K$2:$K$7</definedName>
    <definedName name="DistancetoLF" localSheetId="20">DropDowns_LookUps!$K$2:$K$7</definedName>
    <definedName name="DistancetoLF">DropDowns_LookUps!$K$2:$K$7</definedName>
    <definedName name="Dleaf" localSheetId="12">[1]Assumptions!$D$16</definedName>
    <definedName name="Dleaf" localSheetId="14">[1]Assumptions!$D$16</definedName>
    <definedName name="Dleaf" localSheetId="13">[1]Assumptions!$D$16</definedName>
    <definedName name="Dleaf" localSheetId="15">[1]Assumptions!$D$16</definedName>
    <definedName name="Dleaf">[2]Assumptions!$D$16</definedName>
    <definedName name="DriverWages" localSheetId="20">'Transfer &amp; MRF Assumptions'!$E$5</definedName>
    <definedName name="DriverWages">'Transfer &amp; MRF Assumptions'!$E$5</definedName>
    <definedName name="Dyardwaste" localSheetId="12">[1]Assumptions!$D$18</definedName>
    <definedName name="Dyardwaste" localSheetId="14">[1]Assumptions!$D$18</definedName>
    <definedName name="Dyardwaste" localSheetId="13">[1]Assumptions!$D$18</definedName>
    <definedName name="Dyardwaste" localSheetId="15">[1]Assumptions!$D$18</definedName>
    <definedName name="Dyardwaste">[2]Assumptions!$D$18</definedName>
    <definedName name="Emmet_ComYW">[3]Commercial!$BA$7</definedName>
    <definedName name="Emmet_Food">[3]Commercial!$BB$7</definedName>
    <definedName name="EmmetFW">'[7]Matrix Summary'!$AN$118</definedName>
    <definedName name="EmmetYW">'[7]Matrix Summary'!$AM$118</definedName>
    <definedName name="Eq_Mantainance_Cost">'Transfer &amp; MRF Assumptions'!#REF!</definedName>
    <definedName name="Equipment_Amortisation" localSheetId="20">'Transfer &amp; MRF Assumptions'!$B$19</definedName>
    <definedName name="Equipment_Amortisation">'Transfer &amp; MRF Assumptions'!$B$19</definedName>
    <definedName name="Equipment_Sensitivity" localSheetId="20">'Transfer &amp; MRF Assumptions'!$D$19</definedName>
    <definedName name="Equipment_Sensitivity">'Transfer &amp; MRF Assumptions'!$D$19</definedName>
    <definedName name="EquipOperatorWages" localSheetId="20">'Transfer &amp; MRF Assumptions'!$E$6</definedName>
    <definedName name="EquipOperatorWages">'Transfer &amp; MRF Assumptions'!$E$6</definedName>
    <definedName name="Fiber_Price" localSheetId="17">#REF!</definedName>
    <definedName name="Forklift">'Transfer &amp; MRF Assumptions'!$B$44</definedName>
    <definedName name="frequency">'[4]Dropdown Options'!$B$2:$B$13</definedName>
    <definedName name="Glass" localSheetId="19">DropDowns_LookUps!$I$2:$I$3</definedName>
    <definedName name="Glass" localSheetId="20">DropDowns_LookUps!$I$2:$I$3</definedName>
    <definedName name="Glass">DropDowns_LookUps!$I$2:$I$3</definedName>
    <definedName name="GTC_ComYW">[3]Commercial!$BA$8</definedName>
    <definedName name="GTC_Food">[3]Commercial!$BB$8</definedName>
    <definedName name="Haul_Cost">'Transfer &amp; MRF Assumptions'!$B$38</definedName>
    <definedName name="Haul_Cost_Rolloff">'Transfer &amp; MRF Assumptions'!#REF!</definedName>
    <definedName name="Interest_Rate" localSheetId="20">'Transfer &amp; MRF Assumptions'!$B$15</definedName>
    <definedName name="Interest_Rate">'Transfer &amp; MRF Assumptions'!$B$15</definedName>
    <definedName name="Kal_ComYW">[3]Commercial!$BA$9</definedName>
    <definedName name="Kal_Food">[3]Commercial!$BB$9</definedName>
    <definedName name="KeystoneFW">'[7]Matrix Summary'!$AP$118</definedName>
    <definedName name="KeystoneYW">'[7]Matrix Summary'!$AO$118</definedName>
    <definedName name="Land_Cost_per_acre" localSheetId="20">'Transfer &amp; MRF Assumptions'!$B$17</definedName>
    <definedName name="Land_Cost_per_acre">'Transfer &amp; MRF Assumptions'!$B$17</definedName>
    <definedName name="Land_Cost_Sensitivity" localSheetId="20">'Transfer &amp; MRF Assumptions'!$D$17</definedName>
    <definedName name="Land_Cost_Sensitivity">'Transfer &amp; MRF Assumptions'!$D$17</definedName>
    <definedName name="Land_Inflation_Rate">'Transfer &amp; MRF Assumptions'!#REF!</definedName>
    <definedName name="Lee_ComYW">[3]Commercial!$BA$10</definedName>
    <definedName name="Lee_Food">[3]Commercial!$BB$10</definedName>
    <definedName name="LH_Cost_per_Ton_per_Mile" localSheetId="20">'Transfer &amp; MRF Assumptions'!$B$39</definedName>
    <definedName name="LH_Cost_per_Ton_per_Mile">'Transfer &amp; MRF Assumptions'!$B$39</definedName>
    <definedName name="LLoader" localSheetId="20">'Transfer &amp; MRF Assumptions'!$B$47</definedName>
    <definedName name="LLoader">'Transfer &amp; MRF Assumptions'!$B$47</definedName>
    <definedName name="Load_Limit" localSheetId="20">'Transfer &amp; MRF Assumptions'!#REF!</definedName>
    <definedName name="Load_Limit">'Transfer &amp; MRF Assumptions'!#REF!</definedName>
    <definedName name="Load_Limit_Rolloff" localSheetId="20">'Transfer &amp; MRF Assumptions'!$B$42</definedName>
    <definedName name="Load_Limit_Rolloff">'Transfer &amp; MRF Assumptions'!$B$42</definedName>
    <definedName name="MaintenaeWages" localSheetId="20">'Transfer &amp; MRF Assumptions'!$E$7</definedName>
    <definedName name="MaintenaeWages">'Transfer &amp; MRF Assumptions'!$E$7</definedName>
    <definedName name="Maintenance_Costs">'Transfer &amp; MRF Assumptions'!#REF!</definedName>
    <definedName name="Man_ComYW">[3]Commercial!$BA$11</definedName>
    <definedName name="Man_Food">[3]Commercial!$BB$11</definedName>
    <definedName name="Management_Allowance" localSheetId="20">'Transfer &amp; MRF Assumptions'!$B$31</definedName>
    <definedName name="Management_Allowance">'Transfer &amp; MRF Assumptions'!$B$31</definedName>
    <definedName name="Meter3_per_square_foot" localSheetId="17">#REF!</definedName>
    <definedName name="MFFW_Part">'[6]Basic Estimate'!$B$16:$D$16</definedName>
    <definedName name="MgmtWages" localSheetId="20">'Transfer &amp; MRF Assumptions'!$E$9</definedName>
    <definedName name="MgmtWages">'Transfer &amp; MRF Assumptions'!$E$9</definedName>
    <definedName name="Miss_ComYW">[3]Commercial!$BA$12</definedName>
    <definedName name="Miss_Food">[3]Commercial!$BB$12</definedName>
    <definedName name="MorganFW">'[7]Matrix Summary'!$AR$118</definedName>
    <definedName name="MorganYW">'[7]Matrix Summary'!$AQ$118</definedName>
    <definedName name="Number_of_Hh_per_Drop_Off_site">AssumptionTables!$C$43</definedName>
    <definedName name="One_Way_Trip_Long_Haul_to_MRF" localSheetId="20">'Transfer &amp; MRF Assumptions'!$B$34</definedName>
    <definedName name="One_Way_Trip_Long_Haul_to_MRF">'Transfer &amp; MRF Assumptions'!$B$34</definedName>
    <definedName name="Operating_Inflation_Rate">'Transfer &amp; MRF Assumptions'!#REF!</definedName>
    <definedName name="Other_Price" localSheetId="17">'Transfer &amp; MRF Assumptions'!#REF!</definedName>
    <definedName name="Pad_Acreage" localSheetId="12">'ASP Model_YW'!$H$10</definedName>
    <definedName name="Pad_Acreage" localSheetId="14">'ASP Model_YW+FW'!$H$10</definedName>
    <definedName name="Pad_Area">'[7]Windrow Model'!$K$18</definedName>
    <definedName name="Pads" localSheetId="12">'ASP Model_YW'!$H$9</definedName>
    <definedName name="Pads" localSheetId="14">'ASP Model_YW+FW'!$H$9</definedName>
    <definedName name="Pads">'[7]New ASP Model'!$H$9</definedName>
    <definedName name="ParticipationDrop" localSheetId="19">DropDowns_LookUps!$C$2:$C$6</definedName>
    <definedName name="ParticipationDrop" localSheetId="20">DropDowns_LookUps!$C$2:$C$6</definedName>
    <definedName name="ParticipationDrop">DropDowns_LookUps!$C$2:$C$6</definedName>
    <definedName name="Pivot2000rowLookup">[8]Density2000!$A$5:$DO$377</definedName>
    <definedName name="Pivot2000rowLookupPop">[8]Pop2000!$A$5:$DO$377</definedName>
    <definedName name="Pivot2010rowLookup">[8]Density2010!$A$5:$DO$377</definedName>
    <definedName name="Pivot2010rowLookupPop">[8]Pop2010!$A$5:$DO$377</definedName>
    <definedName name="PpundsperHH">DropDowns_LookUps!$G$2:$G$4</definedName>
    <definedName name="_xlnm.Print_Area" localSheetId="0">Instructions!$A$1:$O$46</definedName>
    <definedName name="_xlnm.Print_Area" localSheetId="4">Outputs!$B$1:$I$41</definedName>
    <definedName name="_xlnm.Print_Area" localSheetId="2">'Results - Collection'!$A$1:$I$111</definedName>
    <definedName name="_xlnm.Print_Area" localSheetId="17">'Results - Transfer &amp; Processing'!$B$1:$I$13</definedName>
    <definedName name="Process_Utilities_Costs">'Transfer &amp; MRF Assumptions'!#REF!</definedName>
    <definedName name="Process_Utility_Cost">'Transfer &amp; MRF Assumptions'!#REF!</definedName>
    <definedName name="Process_Utility_Costs" localSheetId="17">#REF!</definedName>
    <definedName name="Processing_Fuel_Costs" localSheetId="17">'Transfer &amp; MRF Assumptions'!#REF!</definedName>
    <definedName name="Recycling">DropDowns_LookUps!$M$2:$M$7</definedName>
    <definedName name="Residue_Disposal_Cost">'Transfer &amp; MRF Assumptions'!#REF!</definedName>
    <definedName name="Residue_Tip_Fee" localSheetId="17">#REF!</definedName>
    <definedName name="Revenue_Share" localSheetId="20">'Transfer &amp; MRF Assumptions'!$L$197</definedName>
    <definedName name="Revenue_Share">'Transfer &amp; MRF Assumptions'!$L$197</definedName>
    <definedName name="Rolling_Stock_Amortisation" localSheetId="20">'Transfer &amp; MRF Assumptions'!$B$20</definedName>
    <definedName name="Rolling_Stock_Amortisation">'Transfer &amp; MRF Assumptions'!$B$20</definedName>
    <definedName name="Rolling_Stock_Sensitivity" localSheetId="20">'Transfer &amp; MRF Assumptions'!$D$20</definedName>
    <definedName name="Rolling_Stock_Sensitivity">'Transfer &amp; MRF Assumptions'!$D$20</definedName>
    <definedName name="Rolloff_Capacity">AssumptionTables!$C$44</definedName>
    <definedName name="Rollofff_Density">AssumptionTables!$C$46</definedName>
    <definedName name="Rollofff_Utilization_Factor">AssumptionTables!$C$45</definedName>
    <definedName name="Safety_Office_Phone_Supplies">'Transfer &amp; MRF Assumptions'!#REF!</definedName>
    <definedName name="Sample_Organics">#REF!</definedName>
    <definedName name="ScaleClericalWages" localSheetId="20">'Transfer &amp; MRF Assumptions'!$E$8</definedName>
    <definedName name="ScaleClericalWages">'Transfer &amp; MRF Assumptions'!$E$8</definedName>
    <definedName name="SFFW_Part">'[6]Basic Estimate'!$B$15:$D$15</definedName>
    <definedName name="SFHH1">'[5]1. Outline &amp; Basic Assumptions'!$B$26</definedName>
    <definedName name="SFHH2">'[5]1. Outline &amp; Basic Assumptions'!$C$26</definedName>
    <definedName name="Site_and_Land_Cost_per_acre">'Transfer &amp; MRF Assumptions'!$B$17</definedName>
    <definedName name="Site_Area" localSheetId="12">'ASP Model_YW'!$H$12</definedName>
    <definedName name="Site_Area" localSheetId="14">'ASP Model_YW+FW'!$H$12</definedName>
    <definedName name="Site_Area">'[7]New ASP Model'!$H$12</definedName>
    <definedName name="Skidsteer" localSheetId="20">'Transfer &amp; MRF Assumptions'!$B$45</definedName>
    <definedName name="Skidsteer">'Transfer &amp; MRF Assumptions'!$B$45</definedName>
    <definedName name="SLoader">'Transfer &amp; MRF Assumptions'!$B$46</definedName>
    <definedName name="State_Drop_Down">DropDowns_LookUps!$K$2:$K$7</definedName>
    <definedName name="StateDropDown">DropDowns_LookUps!$K$2:$K$7</definedName>
    <definedName name="Tax_Rate" localSheetId="20">'Transfer &amp; MRF Assumptions'!$B$16</definedName>
    <definedName name="Tax_Rate">'Transfer &amp; MRF Assumptions'!$B$16</definedName>
    <definedName name="tbl_BBRevenue" localSheetId="17">#REF!</definedName>
    <definedName name="tbl_BPScore" localSheetId="17">'[9]Tonnes by Material'!#REF!</definedName>
    <definedName name="tbl_MunicipalGroups" localSheetId="17">#REF!</definedName>
    <definedName name="TOTALS" localSheetId="12">#REF!</definedName>
    <definedName name="TOTALS" localSheetId="14">#REF!</definedName>
    <definedName name="TOTALS">#REF!</definedName>
    <definedName name="Transfer_Cost_per__sq_feet">'Transfer &amp; MRF Assumptions'!$B$53</definedName>
    <definedName name="VolReduct" localSheetId="12">[1]Assumptions!$D$14</definedName>
    <definedName name="VolReduct" localSheetId="14">[1]Assumptions!$D$14</definedName>
    <definedName name="VolReduct" localSheetId="13">[1]Assumptions!$D$14</definedName>
    <definedName name="VolReduct" localSheetId="15">[1]Assumptions!$D$14</definedName>
    <definedName name="VolReduct">[2]Assumptions!$D$14</definedName>
    <definedName name="VolReduct2" localSheetId="12">[1]Assumptions!$D$15</definedName>
    <definedName name="VolReduct2" localSheetId="14">[1]Assumptions!$D$15</definedName>
    <definedName name="VolReduct2" localSheetId="13">[1]Assumptions!$D$15</definedName>
    <definedName name="VolReduct2" localSheetId="15">[1]Assumptions!$D$15</definedName>
    <definedName name="VolReduct2">[2]Assumptions!$D$15</definedName>
    <definedName name="Wage_Inflation_Rate">'Transfer &amp; MRF Assumptions'!#REF!</definedName>
    <definedName name="Wex_ComYW">[3]Commercial!$BA$13</definedName>
    <definedName name="Wex_Food">[3]Commercial!$BB$13</definedName>
    <definedName name="Workdays_per_Year" localSheetId="20">'Transfer &amp; MRF Assumptions'!$B$50</definedName>
    <definedName name="Workdays_per_Year">'Transfer &amp; MRF Assumptions'!$B$50</definedName>
    <definedName name="Xfer_Fuel" localSheetId="20">'Transfer &amp; MRF Assumptions'!$B$27</definedName>
    <definedName name="Xfer_Fuel">'Transfer &amp; MRF Assumptions'!$B$27</definedName>
    <definedName name="Xfer_Maint" localSheetId="20">'Transfer &amp; MRF Assumptions'!$B$30</definedName>
    <definedName name="Xfer_Maint">'Transfer &amp; MRF Assumptions'!$B$30</definedName>
    <definedName name="Yard_Mule" localSheetId="20">'Transfer &amp; MRF Assumptions'!$B$48</definedName>
    <definedName name="Yard_Mule">'Transfer &amp; MRF Assumptions'!$B$48</definedName>
    <definedName name="Z_C1E42E27_80DF_5D46_A74B_2BA4AA86045C_.wvu.Cols" localSheetId="5" hidden="1">AssumptionTables!$E:$F</definedName>
    <definedName name="Z_C1E42E27_80DF_5D46_A74B_2BA4AA86045C_.wvu.PrintArea" localSheetId="0" hidden="1">Instructions!$A$1:$O$46</definedName>
    <definedName name="Z_C1E42E27_80DF_5D46_A74B_2BA4AA86045C_.wvu.PrintArea" localSheetId="4" hidden="1">Outputs!$B$1:$I$41</definedName>
    <definedName name="Z_C1E42E27_80DF_5D46_A74B_2BA4AA86045C_.wvu.PrintArea" localSheetId="2" hidden="1">'Results - Collection'!$A$1:$I$111</definedName>
    <definedName name="Z_C1E42E27_80DF_5D46_A74B_2BA4AA86045C_.wvu.PrintArea" localSheetId="17" hidden="1">'Results - Transfer &amp; Processing'!$B$1:$I$13</definedName>
    <definedName name="Z_C1E42E27_80DF_5D46_A74B_2BA4AA86045C_.wvu.Rows" localSheetId="3" hidden="1">'Results - Hub and Spoke'!$14:$14</definedName>
    <definedName name="Z_C6E026A6_065F_4BC7_8A1C_5537BAE31A06_.wvu.Cols" localSheetId="5" hidden="1">AssumptionTables!$E:$F</definedName>
    <definedName name="Z_C6E026A6_065F_4BC7_8A1C_5537BAE31A06_.wvu.PrintArea" localSheetId="0" hidden="1">Instructions!$A$1:$O$46</definedName>
    <definedName name="Z_C6E026A6_065F_4BC7_8A1C_5537BAE31A06_.wvu.PrintArea" localSheetId="4" hidden="1">Outputs!$B$1:$I$41</definedName>
    <definedName name="Z_C6E026A6_065F_4BC7_8A1C_5537BAE31A06_.wvu.PrintArea" localSheetId="2" hidden="1">'Results - Collection'!$A$1:$I$111</definedName>
    <definedName name="Z_C6E026A6_065F_4BC7_8A1C_5537BAE31A06_.wvu.PrintArea" localSheetId="17" hidden="1">'Results - Transfer &amp; Processing'!$B$1:$I$13</definedName>
    <definedName name="Z_C6E026A6_065F_4BC7_8A1C_5537BAE31A06_.wvu.Rows" localSheetId="3" hidden="1">'Results - Hub and Spoke'!$14:$14</definedName>
    <definedName name="Zones" localSheetId="12">'ASP Model_YW'!$H$11</definedName>
    <definedName name="Zones" localSheetId="14">'ASP Model_YW+FW'!$H$11</definedName>
    <definedName name="Zones">'[7]New ASP Model'!$H$11</definedName>
  </definedNames>
  <calcPr calcId="191028"/>
  <customWorkbookViews>
    <customWorkbookView name="Juri Freeman - Personal View" guid="{C6E026A6-065F-4BC7-8A1C-5537BAE31A06}" mergeInterval="0" personalView="1" maximized="1" xWindow="-8" yWindow="-8" windowWidth="1382" windowHeight="744" tabRatio="500" activeSheetId="2" showFormulaBar="0"/>
    <customWorkbookView name="David Stead - Personal View" guid="{C1E42E27-80DF-5D46-A74B-2BA4AA86045C}" mergeInterval="0" personalView="1" windowWidth="824" windowHeight="604" tabRatio="500" activeSheetId="1" showComments="commNone"/>
    <customWorkbookView name="PrintView" guid="{487CB698-FD0E-4580-BCE5-B1F3904B4ADD}" includeHiddenRowCol="0" maximized="1" xWindow="-8" yWindow="-8" windowWidth="1382" windowHeight="744" activeSheetId="2"/>
  </customWorkbookViews>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7" i="15" l="1"/>
  <c r="I16" i="22"/>
  <c r="C51" i="8" l="1"/>
  <c r="C50" i="8"/>
  <c r="C49" i="8"/>
  <c r="C57" i="8"/>
  <c r="K42" i="7"/>
  <c r="B37" i="7"/>
  <c r="C37" i="7"/>
  <c r="L9" i="10"/>
  <c r="L8" i="10"/>
  <c r="L7" i="10"/>
  <c r="C104" i="21" l="1"/>
  <c r="C80" i="18"/>
  <c r="C80" i="22"/>
  <c r="C40" i="22"/>
  <c r="C55" i="8"/>
  <c r="Q19" i="17"/>
  <c r="Q18" i="17"/>
  <c r="C53" i="8"/>
  <c r="F40" i="7"/>
  <c r="F39" i="7"/>
  <c r="F38" i="7"/>
  <c r="F37" i="7"/>
  <c r="L37" i="7"/>
  <c r="M37" i="7"/>
  <c r="M42" i="7"/>
  <c r="M12" i="7"/>
  <c r="K5" i="10"/>
  <c r="O3" i="10"/>
  <c r="N3" i="10"/>
  <c r="M3" i="10"/>
  <c r="L3" i="10"/>
  <c r="K7" i="10"/>
  <c r="J39" i="7"/>
  <c r="J38" i="7"/>
  <c r="J37" i="7"/>
  <c r="J42" i="7" s="1"/>
  <c r="K43" i="7"/>
  <c r="K44" i="7"/>
  <c r="K45" i="7"/>
  <c r="I42" i="7"/>
  <c r="I43" i="7"/>
  <c r="I44" i="7"/>
  <c r="I45" i="7"/>
  <c r="C66" i="8"/>
  <c r="E38" i="2" l="1"/>
  <c r="C5" i="17" s="1"/>
  <c r="M19" i="17"/>
  <c r="M18" i="17"/>
  <c r="O13" i="21"/>
  <c r="J8" i="17"/>
  <c r="J9" i="17"/>
  <c r="E110" i="17"/>
  <c r="E109" i="17"/>
  <c r="E118" i="17"/>
  <c r="G38" i="7"/>
  <c r="G39" i="7" s="1"/>
  <c r="G40" i="7" s="1"/>
  <c r="H37" i="7"/>
  <c r="H38" i="7" s="1"/>
  <c r="G37" i="7"/>
  <c r="E37" i="7"/>
  <c r="D37" i="7"/>
  <c r="K12" i="7"/>
  <c r="J12" i="7"/>
  <c r="C191" i="9" l="1"/>
  <c r="C190" i="9"/>
  <c r="C189" i="9"/>
  <c r="H27" i="15"/>
  <c r="G27" i="15"/>
  <c r="C27" i="15"/>
  <c r="D27" i="15"/>
  <c r="E27" i="15"/>
  <c r="B27" i="15"/>
  <c r="C40" i="15"/>
  <c r="C41" i="15" s="1"/>
  <c r="D40" i="15"/>
  <c r="D41" i="15" s="1"/>
  <c r="E40" i="15"/>
  <c r="E41" i="15" s="1"/>
  <c r="F40" i="15"/>
  <c r="F41" i="15" s="1"/>
  <c r="G40" i="15"/>
  <c r="G41" i="15" s="1"/>
  <c r="H40" i="15"/>
  <c r="H41" i="15" s="1"/>
  <c r="B40" i="15"/>
  <c r="B41" i="15" s="1"/>
  <c r="AB33" i="12"/>
  <c r="AB40" i="12" s="1"/>
  <c r="L33" i="12"/>
  <c r="K33" i="12"/>
  <c r="K40" i="12" s="1"/>
  <c r="E201" i="9" l="1"/>
  <c r="D201" i="9"/>
  <c r="D200" i="9"/>
  <c r="E200" i="9"/>
  <c r="E199" i="9"/>
  <c r="D199" i="9"/>
  <c r="D126" i="9"/>
  <c r="D122" i="9"/>
  <c r="D127" i="9"/>
  <c r="E128" i="9"/>
  <c r="D128" i="9"/>
  <c r="E126" i="9"/>
  <c r="C96" i="9"/>
  <c r="C5" i="21"/>
  <c r="F16" i="15"/>
  <c r="E93" i="22"/>
  <c r="C109" i="22"/>
  <c r="F90" i="22"/>
  <c r="E86" i="22"/>
  <c r="E87" i="22" s="1"/>
  <c r="F81" i="22"/>
  <c r="G74" i="22"/>
  <c r="H74" i="22" s="1"/>
  <c r="F74" i="22"/>
  <c r="E74" i="22"/>
  <c r="F73" i="22"/>
  <c r="E73" i="22"/>
  <c r="F72" i="22"/>
  <c r="E72" i="22"/>
  <c r="F71" i="22"/>
  <c r="E71" i="22"/>
  <c r="F70" i="22"/>
  <c r="E70" i="22"/>
  <c r="O63" i="22"/>
  <c r="M63" i="22"/>
  <c r="N62" i="22"/>
  <c r="M59" i="22"/>
  <c r="N56" i="22"/>
  <c r="N57" i="22" s="1"/>
  <c r="O55" i="22"/>
  <c r="M55" i="22"/>
  <c r="N54" i="22"/>
  <c r="G54" i="22"/>
  <c r="F54" i="22"/>
  <c r="G53" i="22"/>
  <c r="G52" i="22"/>
  <c r="F52" i="22"/>
  <c r="G51" i="22"/>
  <c r="F51" i="22"/>
  <c r="N48" i="22"/>
  <c r="G48" i="22"/>
  <c r="F48" i="22"/>
  <c r="G47" i="22"/>
  <c r="F47" i="22"/>
  <c r="O46" i="22"/>
  <c r="M46" i="22"/>
  <c r="G46" i="22"/>
  <c r="C46" i="22"/>
  <c r="F46" i="22" s="1"/>
  <c r="N45" i="22"/>
  <c r="O44" i="22"/>
  <c r="F43" i="22"/>
  <c r="G42" i="22"/>
  <c r="C42" i="22"/>
  <c r="I41" i="22"/>
  <c r="G41" i="22"/>
  <c r="F41" i="22"/>
  <c r="G40" i="22"/>
  <c r="G39" i="22"/>
  <c r="G38" i="22"/>
  <c r="G37" i="22"/>
  <c r="F37" i="22"/>
  <c r="M36" i="22"/>
  <c r="G36" i="22"/>
  <c r="E36" i="22"/>
  <c r="M35" i="22"/>
  <c r="G35" i="22"/>
  <c r="G34" i="22"/>
  <c r="G30" i="22"/>
  <c r="F30" i="22"/>
  <c r="G29" i="22"/>
  <c r="F29" i="22"/>
  <c r="G28" i="22"/>
  <c r="F28" i="22"/>
  <c r="G27" i="22"/>
  <c r="G26" i="22"/>
  <c r="G25" i="22"/>
  <c r="E25" i="22"/>
  <c r="F25" i="22" s="1"/>
  <c r="H25" i="22" s="1"/>
  <c r="G24" i="22"/>
  <c r="F24" i="22"/>
  <c r="G23" i="22"/>
  <c r="I15" i="22"/>
  <c r="K15" i="22" s="1"/>
  <c r="C14" i="22"/>
  <c r="H29" i="22" s="1"/>
  <c r="F11" i="22"/>
  <c r="K6" i="22"/>
  <c r="C6" i="22"/>
  <c r="N49" i="22" l="1"/>
  <c r="C5" i="18"/>
  <c r="C5" i="22"/>
  <c r="C123" i="22" s="1"/>
  <c r="C82" i="22"/>
  <c r="F80" i="22"/>
  <c r="F42" i="22"/>
  <c r="H42" i="22" s="1"/>
  <c r="H47" i="22"/>
  <c r="H51" i="22"/>
  <c r="H30" i="22"/>
  <c r="H37" i="22"/>
  <c r="H54" i="22"/>
  <c r="I42" i="22"/>
  <c r="H48" i="22"/>
  <c r="H52" i="22"/>
  <c r="H28" i="22"/>
  <c r="H24" i="22"/>
  <c r="H41" i="22"/>
  <c r="H43" i="22"/>
  <c r="P19" i="21"/>
  <c r="P18" i="21"/>
  <c r="O18" i="21"/>
  <c r="M18" i="21"/>
  <c r="M15" i="21"/>
  <c r="M14" i="21"/>
  <c r="M35" i="18"/>
  <c r="E86" i="18"/>
  <c r="E87" i="18" s="1"/>
  <c r="E93" i="18"/>
  <c r="E110" i="21"/>
  <c r="O63" i="18"/>
  <c r="M63" i="18"/>
  <c r="N62" i="18"/>
  <c r="N56" i="18"/>
  <c r="O55" i="18"/>
  <c r="M55" i="18"/>
  <c r="N54" i="18"/>
  <c r="N48" i="18"/>
  <c r="O46" i="18"/>
  <c r="M46" i="18"/>
  <c r="N45" i="18"/>
  <c r="O44" i="18"/>
  <c r="M36" i="18"/>
  <c r="M93" i="21"/>
  <c r="E25" i="18"/>
  <c r="G24" i="18"/>
  <c r="F24" i="18"/>
  <c r="J33" i="7"/>
  <c r="J32" i="7"/>
  <c r="J31" i="7"/>
  <c r="J30" i="7"/>
  <c r="J29" i="7"/>
  <c r="J28" i="7"/>
  <c r="M59" i="18"/>
  <c r="F40" i="22" l="1"/>
  <c r="H40" i="22" s="1"/>
  <c r="I40" i="22"/>
  <c r="F82" i="22"/>
  <c r="G81" i="22"/>
  <c r="N49" i="18"/>
  <c r="N57" i="18"/>
  <c r="I16" i="19" l="1"/>
  <c r="C16" i="19"/>
  <c r="L11" i="19"/>
  <c r="C11" i="19"/>
  <c r="J4" i="19"/>
  <c r="C4" i="19"/>
  <c r="M73" i="21"/>
  <c r="O86" i="21"/>
  <c r="M86" i="21"/>
  <c r="O82" i="21"/>
  <c r="M82" i="21"/>
  <c r="O73" i="21"/>
  <c r="F37" i="18" l="1"/>
  <c r="I16" i="18"/>
  <c r="I15" i="18"/>
  <c r="K15" i="18" s="1"/>
  <c r="G58" i="21" l="1"/>
  <c r="G58" i="17"/>
  <c r="G52" i="18"/>
  <c r="G53" i="18"/>
  <c r="G54" i="18"/>
  <c r="G38" i="18"/>
  <c r="G39" i="18"/>
  <c r="G35" i="18"/>
  <c r="G34" i="18"/>
  <c r="E36" i="18"/>
  <c r="G46" i="18"/>
  <c r="F47" i="18"/>
  <c r="C46" i="18"/>
  <c r="F46" i="18" s="1"/>
  <c r="G51" i="18"/>
  <c r="G48" i="18"/>
  <c r="G47" i="18"/>
  <c r="G42" i="18"/>
  <c r="G41" i="18"/>
  <c r="G40" i="18"/>
  <c r="G37" i="18"/>
  <c r="G36" i="18"/>
  <c r="G30" i="18"/>
  <c r="G29" i="18"/>
  <c r="G28" i="18"/>
  <c r="G27" i="18"/>
  <c r="G26" i="18"/>
  <c r="G25" i="18"/>
  <c r="G23" i="18"/>
  <c r="C42" i="18"/>
  <c r="C40" i="18" l="1"/>
  <c r="F90" i="18"/>
  <c r="F81" i="18"/>
  <c r="E74" i="18"/>
  <c r="E73" i="18"/>
  <c r="E72" i="18"/>
  <c r="E71" i="18"/>
  <c r="F74" i="18"/>
  <c r="G74" i="18"/>
  <c r="H74" i="18" s="1"/>
  <c r="F73" i="18"/>
  <c r="F72" i="18"/>
  <c r="F71" i="18"/>
  <c r="F70" i="18"/>
  <c r="F43" i="18"/>
  <c r="F54" i="18"/>
  <c r="F52" i="18"/>
  <c r="F51" i="18"/>
  <c r="F48" i="18"/>
  <c r="F42" i="18"/>
  <c r="F30" i="18"/>
  <c r="F29" i="18"/>
  <c r="F28" i="18"/>
  <c r="F25" i="18"/>
  <c r="E194" i="9"/>
  <c r="D194" i="9"/>
  <c r="C147" i="21"/>
  <c r="C140" i="21"/>
  <c r="C132" i="21"/>
  <c r="E118" i="21"/>
  <c r="K114" i="21"/>
  <c r="K115" i="21" s="1"/>
  <c r="F114" i="21"/>
  <c r="E109" i="21"/>
  <c r="F105" i="21"/>
  <c r="I104" i="21"/>
  <c r="I105" i="21" s="1"/>
  <c r="I106" i="21" s="1"/>
  <c r="I102" i="21"/>
  <c r="H98" i="21"/>
  <c r="G98" i="21"/>
  <c r="F98" i="21"/>
  <c r="E98" i="21"/>
  <c r="F97" i="21"/>
  <c r="E97" i="21"/>
  <c r="F96" i="21"/>
  <c r="E96" i="21"/>
  <c r="F95" i="21"/>
  <c r="E95" i="21"/>
  <c r="F94" i="21"/>
  <c r="E94" i="21"/>
  <c r="C87" i="21"/>
  <c r="C86" i="21"/>
  <c r="N85" i="21"/>
  <c r="C85" i="21"/>
  <c r="N81" i="21"/>
  <c r="F76" i="21"/>
  <c r="F73" i="21"/>
  <c r="N72" i="21"/>
  <c r="G70" i="21"/>
  <c r="G69" i="21"/>
  <c r="G68" i="21"/>
  <c r="G67" i="21"/>
  <c r="G66" i="21"/>
  <c r="H66" i="21" s="1"/>
  <c r="F66" i="21"/>
  <c r="G65" i="21"/>
  <c r="F65" i="21"/>
  <c r="G64" i="21"/>
  <c r="F64" i="21"/>
  <c r="G63" i="21"/>
  <c r="G60" i="21"/>
  <c r="F60" i="21"/>
  <c r="M59" i="21"/>
  <c r="G59" i="21"/>
  <c r="M58" i="21"/>
  <c r="F58" i="21"/>
  <c r="G57" i="21"/>
  <c r="F57" i="21"/>
  <c r="G56" i="21"/>
  <c r="F56" i="21"/>
  <c r="G53" i="21"/>
  <c r="F53" i="21"/>
  <c r="G52" i="21"/>
  <c r="F52" i="21"/>
  <c r="G51" i="21"/>
  <c r="C51" i="21"/>
  <c r="I48" i="21" s="1"/>
  <c r="I50" i="21"/>
  <c r="G48" i="21"/>
  <c r="F48" i="21"/>
  <c r="G47" i="21"/>
  <c r="E47" i="21"/>
  <c r="G46" i="21"/>
  <c r="E46" i="21"/>
  <c r="G43" i="21"/>
  <c r="H43" i="21" s="1"/>
  <c r="F43" i="21"/>
  <c r="G42" i="21"/>
  <c r="F42" i="21"/>
  <c r="C42" i="21"/>
  <c r="M41" i="21"/>
  <c r="G41" i="21"/>
  <c r="E41" i="21"/>
  <c r="F41" i="21" s="1"/>
  <c r="M40" i="21"/>
  <c r="G40" i="21"/>
  <c r="E40" i="21"/>
  <c r="C40" i="21"/>
  <c r="I37" i="21" s="1"/>
  <c r="I39" i="21"/>
  <c r="G39" i="21"/>
  <c r="G38" i="21"/>
  <c r="G37" i="21"/>
  <c r="F37" i="21"/>
  <c r="M36" i="21"/>
  <c r="M32" i="21" s="1"/>
  <c r="G36" i="21"/>
  <c r="M35" i="21"/>
  <c r="M31" i="21" s="1"/>
  <c r="G35" i="21"/>
  <c r="F35" i="21"/>
  <c r="M34" i="21"/>
  <c r="I34" i="21"/>
  <c r="I79" i="21" s="1"/>
  <c r="C131" i="21" s="1"/>
  <c r="C154" i="21" s="1"/>
  <c r="G34" i="21"/>
  <c r="E34" i="21"/>
  <c r="M33" i="21"/>
  <c r="G33" i="21"/>
  <c r="G32" i="21"/>
  <c r="G28" i="21"/>
  <c r="F28" i="21"/>
  <c r="G27" i="21"/>
  <c r="F27" i="21"/>
  <c r="E27" i="21"/>
  <c r="G26" i="21"/>
  <c r="F26" i="21"/>
  <c r="G25" i="21"/>
  <c r="F25" i="21"/>
  <c r="G24" i="21"/>
  <c r="G23" i="21"/>
  <c r="G22" i="21"/>
  <c r="G21" i="21"/>
  <c r="F21" i="21"/>
  <c r="G20" i="21"/>
  <c r="F20" i="21"/>
  <c r="G19" i="21"/>
  <c r="C14" i="21"/>
  <c r="H26" i="21" s="1"/>
  <c r="M12" i="21"/>
  <c r="M13" i="21" s="1"/>
  <c r="M11" i="21"/>
  <c r="F11" i="21"/>
  <c r="M10" i="21"/>
  <c r="C6" i="21"/>
  <c r="M4" i="21"/>
  <c r="M5" i="21" s="1"/>
  <c r="H27" i="21" l="1"/>
  <c r="H25" i="21"/>
  <c r="C82" i="18"/>
  <c r="F82" i="18" s="1"/>
  <c r="F80" i="18"/>
  <c r="M6" i="21"/>
  <c r="H41" i="21"/>
  <c r="I107" i="21"/>
  <c r="I109" i="21" s="1"/>
  <c r="K107" i="21" s="1"/>
  <c r="K108" i="21" s="1"/>
  <c r="I110" i="21"/>
  <c r="M92" i="21"/>
  <c r="M19" i="21"/>
  <c r="H21" i="21"/>
  <c r="F40" i="21"/>
  <c r="H40" i="21" s="1"/>
  <c r="F51" i="21"/>
  <c r="H51" i="21" s="1"/>
  <c r="H53" i="21"/>
  <c r="H58" i="21"/>
  <c r="H64" i="21"/>
  <c r="H28" i="21"/>
  <c r="H35" i="21"/>
  <c r="H60" i="21"/>
  <c r="H37" i="21"/>
  <c r="H56" i="21"/>
  <c r="H65" i="21"/>
  <c r="H73" i="21"/>
  <c r="H42" i="21"/>
  <c r="H48" i="21"/>
  <c r="H76" i="21"/>
  <c r="H20" i="21"/>
  <c r="H52" i="21"/>
  <c r="C106" i="21" l="1"/>
  <c r="F106" i="21" s="1"/>
  <c r="F104" i="21"/>
  <c r="C115" i="17" l="1"/>
  <c r="B16" i="15"/>
  <c r="M15" i="17"/>
  <c r="E121" i="9"/>
  <c r="D121" i="9"/>
  <c r="B49" i="6"/>
  <c r="K49" i="6"/>
  <c r="L49" i="6"/>
  <c r="M49" i="6"/>
  <c r="N49" i="6"/>
  <c r="O49" i="6"/>
  <c r="M93" i="17"/>
  <c r="M92" i="17"/>
  <c r="M14" i="17"/>
  <c r="C81" i="9"/>
  <c r="C82" i="9" s="1"/>
  <c r="I11" i="19" l="1"/>
  <c r="G4" i="19"/>
  <c r="H11" i="19"/>
  <c r="G11" i="19"/>
  <c r="H16" i="19"/>
  <c r="F11" i="19"/>
  <c r="E11" i="19"/>
  <c r="D16" i="19"/>
  <c r="E4" i="19"/>
  <c r="D11" i="19"/>
  <c r="G16" i="19"/>
  <c r="D4" i="19"/>
  <c r="K11" i="19"/>
  <c r="I4" i="19"/>
  <c r="F16" i="19"/>
  <c r="J11" i="19"/>
  <c r="H4" i="19"/>
  <c r="E16" i="19"/>
  <c r="F4" i="19"/>
  <c r="G98" i="17" l="1"/>
  <c r="H98" i="17" s="1"/>
  <c r="C86" i="17"/>
  <c r="C87" i="17"/>
  <c r="C85" i="17"/>
  <c r="N81" i="17"/>
  <c r="N85" i="17"/>
  <c r="N72" i="17"/>
  <c r="G70" i="17"/>
  <c r="G69" i="17"/>
  <c r="G68" i="17"/>
  <c r="G67" i="17"/>
  <c r="G66" i="17"/>
  <c r="G65" i="17"/>
  <c r="G64" i="17"/>
  <c r="G63" i="17"/>
  <c r="G60" i="17"/>
  <c r="G59" i="17"/>
  <c r="G57" i="17"/>
  <c r="G56" i="17"/>
  <c r="G53" i="17"/>
  <c r="G52" i="17"/>
  <c r="G51" i="17"/>
  <c r="G48" i="17"/>
  <c r="G47" i="17"/>
  <c r="G46" i="17"/>
  <c r="G43" i="17"/>
  <c r="G42" i="17"/>
  <c r="G41" i="17"/>
  <c r="G40" i="17"/>
  <c r="G39" i="17"/>
  <c r="G38" i="17"/>
  <c r="G37" i="17"/>
  <c r="G36" i="17"/>
  <c r="G35" i="17"/>
  <c r="G34" i="17"/>
  <c r="G33" i="17"/>
  <c r="G32" i="17"/>
  <c r="G28" i="17"/>
  <c r="G27" i="17"/>
  <c r="G26" i="17"/>
  <c r="G25" i="17"/>
  <c r="G24" i="17"/>
  <c r="G23" i="17"/>
  <c r="G22" i="17"/>
  <c r="G21" i="17"/>
  <c r="G20" i="17"/>
  <c r="G19" i="17"/>
  <c r="C6" i="18"/>
  <c r="C6" i="17"/>
  <c r="M4" i="17"/>
  <c r="E27" i="17"/>
  <c r="C16" i="15"/>
  <c r="D67" i="8"/>
  <c r="M5" i="17" l="1"/>
  <c r="M6" i="17" s="1"/>
  <c r="C4" i="9"/>
  <c r="D4" i="9" s="1"/>
  <c r="K14" i="7" l="1"/>
  <c r="K13" i="7"/>
  <c r="C58" i="8"/>
  <c r="C59" i="8" s="1"/>
  <c r="C52" i="8"/>
  <c r="K37" i="7" s="1"/>
  <c r="D68" i="8"/>
  <c r="C14" i="18" l="1"/>
  <c r="H24" i="18" s="1"/>
  <c r="C14" i="17"/>
  <c r="C123" i="18"/>
  <c r="C109" i="18"/>
  <c r="E70" i="18"/>
  <c r="I42" i="18"/>
  <c r="F11" i="18"/>
  <c r="C147" i="17"/>
  <c r="C140" i="17"/>
  <c r="K114" i="17"/>
  <c r="K115" i="17" s="1"/>
  <c r="F114" i="17"/>
  <c r="F105" i="17"/>
  <c r="I104" i="17"/>
  <c r="I105" i="17" s="1"/>
  <c r="I102" i="17"/>
  <c r="F98" i="17"/>
  <c r="F97" i="17"/>
  <c r="F96" i="17"/>
  <c r="F95" i="17"/>
  <c r="F94" i="17"/>
  <c r="E94" i="17"/>
  <c r="F76" i="17"/>
  <c r="F73" i="17"/>
  <c r="F66" i="17"/>
  <c r="F65" i="17"/>
  <c r="F64" i="17"/>
  <c r="F60" i="17"/>
  <c r="M59" i="17"/>
  <c r="M58" i="17"/>
  <c r="F58" i="17"/>
  <c r="F57" i="17"/>
  <c r="F56" i="17"/>
  <c r="F53" i="17"/>
  <c r="F52" i="17"/>
  <c r="C51" i="17"/>
  <c r="I50" i="17"/>
  <c r="F48" i="17"/>
  <c r="E47" i="17"/>
  <c r="E46" i="17"/>
  <c r="F43" i="17"/>
  <c r="C42" i="17"/>
  <c r="F42" i="17" s="1"/>
  <c r="M41" i="17"/>
  <c r="E41" i="17"/>
  <c r="F41" i="17" s="1"/>
  <c r="M40" i="17"/>
  <c r="E40" i="17"/>
  <c r="F37" i="17"/>
  <c r="M36" i="17"/>
  <c r="M32" i="17" s="1"/>
  <c r="M35" i="17"/>
  <c r="M31" i="17" s="1"/>
  <c r="F35" i="17"/>
  <c r="M34" i="17"/>
  <c r="I34" i="17"/>
  <c r="I79" i="17" s="1"/>
  <c r="C131" i="17" s="1"/>
  <c r="C154" i="17" s="1"/>
  <c r="E34" i="17"/>
  <c r="M33" i="17"/>
  <c r="F28" i="17"/>
  <c r="F27" i="17"/>
  <c r="F26" i="17"/>
  <c r="F25" i="17"/>
  <c r="F21" i="17"/>
  <c r="F20" i="17"/>
  <c r="M11" i="17"/>
  <c r="F11" i="17"/>
  <c r="M10" i="17"/>
  <c r="L42" i="7" l="1"/>
  <c r="H52" i="18"/>
  <c r="H28" i="18"/>
  <c r="H43" i="18"/>
  <c r="H51" i="18"/>
  <c r="G81" i="18"/>
  <c r="I106" i="17"/>
  <c r="I110" i="17" s="1"/>
  <c r="I39" i="17"/>
  <c r="C40" i="17"/>
  <c r="C104" i="17"/>
  <c r="C106" i="17" s="1"/>
  <c r="F106" i="17" s="1"/>
  <c r="M12" i="17"/>
  <c r="M13" i="17" s="1"/>
  <c r="C132" i="17"/>
  <c r="H25" i="17"/>
  <c r="H42" i="18"/>
  <c r="H29" i="18"/>
  <c r="H25" i="18"/>
  <c r="H30" i="18"/>
  <c r="H47" i="18"/>
  <c r="H54" i="18"/>
  <c r="H48" i="18"/>
  <c r="H26" i="17"/>
  <c r="H53" i="17"/>
  <c r="H27" i="17"/>
  <c r="H60" i="17"/>
  <c r="H21" i="17"/>
  <c r="H64" i="17"/>
  <c r="H41" i="17"/>
  <c r="H65" i="17"/>
  <c r="H43" i="17"/>
  <c r="H20" i="17"/>
  <c r="H35" i="17"/>
  <c r="H28" i="17"/>
  <c r="H37" i="17"/>
  <c r="H48" i="17"/>
  <c r="H66" i="17"/>
  <c r="H56" i="17"/>
  <c r="H58" i="17"/>
  <c r="H73" i="17"/>
  <c r="H42" i="17"/>
  <c r="H76" i="17"/>
  <c r="H52" i="17"/>
  <c r="F51" i="17"/>
  <c r="H51" i="17" s="1"/>
  <c r="I48" i="17"/>
  <c r="O13" i="17" l="1"/>
  <c r="I107" i="17"/>
  <c r="I109" i="17" s="1"/>
  <c r="K107" i="17" s="1"/>
  <c r="K108" i="17" s="1"/>
  <c r="F104" i="17"/>
  <c r="F40" i="17"/>
  <c r="H40" i="17" s="1"/>
  <c r="I37" i="17"/>
  <c r="B61" i="9" l="1"/>
  <c r="D152" i="9"/>
  <c r="E152" i="9"/>
  <c r="C152" i="9"/>
  <c r="C184" i="9"/>
  <c r="E161" i="9"/>
  <c r="D161" i="9"/>
  <c r="C161" i="9"/>
  <c r="E160" i="9"/>
  <c r="D160" i="9"/>
  <c r="C160" i="9"/>
  <c r="C91" i="9"/>
  <c r="C162" i="9" l="1"/>
  <c r="E162" i="9"/>
  <c r="D162" i="9"/>
  <c r="AD12" i="12" l="1"/>
  <c r="AH12" i="12"/>
  <c r="AG12" i="12"/>
  <c r="AF12" i="12"/>
  <c r="AE12" i="12"/>
  <c r="AD5" i="12"/>
  <c r="AD4" i="12"/>
  <c r="AD7" i="12" s="1"/>
  <c r="AD8" i="12" s="1"/>
  <c r="AD9" i="12" s="1"/>
  <c r="AD10" i="12" s="1"/>
  <c r="K2" i="12"/>
  <c r="AB4" i="12"/>
  <c r="AB5" i="12"/>
  <c r="AB6" i="12"/>
  <c r="AB7" i="12"/>
  <c r="AB8" i="12"/>
  <c r="AB9" i="12"/>
  <c r="AB10" i="12"/>
  <c r="AB11" i="12"/>
  <c r="AB12" i="12"/>
  <c r="AB13" i="12"/>
  <c r="AB14" i="12"/>
  <c r="AB15" i="12"/>
  <c r="AB16" i="12"/>
  <c r="AB17" i="12"/>
  <c r="AB18" i="12"/>
  <c r="AB19" i="12"/>
  <c r="AB20" i="12"/>
  <c r="AB21" i="12"/>
  <c r="AB22" i="12"/>
  <c r="AB23" i="12"/>
  <c r="AB24" i="12"/>
  <c r="AB25" i="12"/>
  <c r="AB26" i="12"/>
  <c r="AB27" i="12"/>
  <c r="AB28" i="12"/>
  <c r="AB31" i="12"/>
  <c r="AB32" i="12"/>
  <c r="AB39" i="12" s="1"/>
  <c r="AB34" i="12"/>
  <c r="AB41" i="12" s="1"/>
  <c r="AB35" i="12"/>
  <c r="AB42" i="12" s="1"/>
  <c r="AB3" i="12"/>
  <c r="M21" i="7"/>
  <c r="M22" i="7"/>
  <c r="M23" i="7"/>
  <c r="M24" i="7"/>
  <c r="M20" i="7"/>
  <c r="L21" i="7"/>
  <c r="L22" i="7"/>
  <c r="L23" i="7"/>
  <c r="L24" i="7"/>
  <c r="L20" i="7"/>
  <c r="C43" i="8"/>
  <c r="I20" i="7"/>
  <c r="C5" i="12"/>
  <c r="M5" i="12" s="1"/>
  <c r="M6" i="12" s="1"/>
  <c r="C68" i="8"/>
  <c r="AD11" i="12" l="1"/>
  <c r="AD16" i="12" s="1"/>
  <c r="AD3" i="13"/>
  <c r="J13" i="7"/>
  <c r="L16" i="7"/>
  <c r="N16" i="7" s="1"/>
  <c r="K16" i="7"/>
  <c r="M16" i="7" s="1"/>
  <c r="L14" i="7"/>
  <c r="L15" i="7" s="1"/>
  <c r="K15" i="7"/>
  <c r="L12" i="7"/>
  <c r="N12" i="7" s="1"/>
  <c r="C113" i="9"/>
  <c r="C111" i="9"/>
  <c r="V7" i="13"/>
  <c r="AD7" i="13" s="1"/>
  <c r="C90" i="9"/>
  <c r="D91" i="9"/>
  <c r="E91" i="9"/>
  <c r="V12" i="12"/>
  <c r="C12" i="12"/>
  <c r="Z12" i="12"/>
  <c r="Y12" i="12"/>
  <c r="X12" i="12"/>
  <c r="W12" i="12"/>
  <c r="I12" i="12"/>
  <c r="V8" i="12"/>
  <c r="V9" i="12" s="1"/>
  <c r="V3" i="13" s="1"/>
  <c r="E81" i="9"/>
  <c r="E82" i="9" s="1"/>
  <c r="D81" i="9"/>
  <c r="D82" i="9" s="1"/>
  <c r="AD5" i="13" l="1"/>
  <c r="AD6" i="13" s="1"/>
  <c r="AD17" i="13"/>
  <c r="AD17" i="12"/>
  <c r="AD13" i="12"/>
  <c r="AD14" i="12" s="1"/>
  <c r="L13" i="7"/>
  <c r="M14" i="7"/>
  <c r="M15" i="7" s="1"/>
  <c r="N14" i="7"/>
  <c r="N13" i="7" s="1"/>
  <c r="V5" i="13"/>
  <c r="V6" i="13" s="1"/>
  <c r="V17" i="13"/>
  <c r="K38" i="6" s="1"/>
  <c r="N15" i="7"/>
  <c r="M13" i="7"/>
  <c r="C92" i="9"/>
  <c r="C97" i="9" s="1"/>
  <c r="AD15" i="12" l="1"/>
  <c r="AD22" i="13"/>
  <c r="AD19" i="12"/>
  <c r="AD18" i="13"/>
  <c r="V19" i="12"/>
  <c r="V18" i="13"/>
  <c r="K39" i="6" s="1"/>
  <c r="AD23" i="13" l="1"/>
  <c r="AD23" i="12"/>
  <c r="AD18" i="12" s="1"/>
  <c r="AD34" i="12" s="1"/>
  <c r="AD31" i="12"/>
  <c r="AD20" i="12"/>
  <c r="AD21" i="12" s="1"/>
  <c r="J14" i="7"/>
  <c r="B56" i="9"/>
  <c r="B58" i="9" s="1"/>
  <c r="B63" i="9"/>
  <c r="AD22" i="12" l="1"/>
  <c r="AD32" i="12" s="1"/>
  <c r="AD33" i="12"/>
  <c r="D186" i="9"/>
  <c r="E186" i="9"/>
  <c r="C186" i="9"/>
  <c r="E184" i="9"/>
  <c r="D184" i="9"/>
  <c r="D113" i="9"/>
  <c r="E113" i="9"/>
  <c r="C182" i="9"/>
  <c r="AD35" i="12" l="1"/>
  <c r="D182" i="9"/>
  <c r="E182" i="9"/>
  <c r="C181" i="9"/>
  <c r="B183" i="9"/>
  <c r="E181" i="9"/>
  <c r="D181" i="9"/>
  <c r="B169" i="9"/>
  <c r="B168" i="9"/>
  <c r="B167" i="9"/>
  <c r="B166" i="9"/>
  <c r="D144" i="9"/>
  <c r="D168" i="9" s="1"/>
  <c r="E144" i="9"/>
  <c r="E168" i="9" s="1"/>
  <c r="C144" i="9"/>
  <c r="C168" i="9" s="1"/>
  <c r="D79" i="9"/>
  <c r="E79" i="9"/>
  <c r="C79" i="9"/>
  <c r="C98" i="9" s="1"/>
  <c r="D90" i="9"/>
  <c r="D92" i="9" s="1"/>
  <c r="D97" i="9" s="1"/>
  <c r="E90" i="9"/>
  <c r="E92" i="9" s="1"/>
  <c r="E97" i="9" s="1"/>
  <c r="D167" i="9"/>
  <c r="E167" i="9"/>
  <c r="C167" i="9" l="1"/>
  <c r="E137" i="9"/>
  <c r="D137" i="9"/>
  <c r="C151" i="9" l="1"/>
  <c r="E151" i="9"/>
  <c r="D151" i="9"/>
  <c r="H230" i="9"/>
  <c r="Q230" i="9" s="1"/>
  <c r="J230" i="9"/>
  <c r="L230" i="9"/>
  <c r="M230" i="9"/>
  <c r="H231" i="9"/>
  <c r="Q231" i="9" s="1"/>
  <c r="J231" i="9"/>
  <c r="L231" i="9"/>
  <c r="M231" i="9"/>
  <c r="H232" i="9"/>
  <c r="Q232" i="9" s="1"/>
  <c r="J232" i="9"/>
  <c r="L232" i="9"/>
  <c r="M232" i="9"/>
  <c r="H233" i="9"/>
  <c r="Q233" i="9" s="1"/>
  <c r="J233" i="9"/>
  <c r="L233" i="9"/>
  <c r="M233" i="9"/>
  <c r="E173" i="9"/>
  <c r="D173" i="9"/>
  <c r="C173" i="9"/>
  <c r="E155" i="9"/>
  <c r="D155" i="9"/>
  <c r="C155" i="9"/>
  <c r="C157" i="9" s="1"/>
  <c r="B35" i="9"/>
  <c r="D111" i="9"/>
  <c r="E111" i="9"/>
  <c r="C103" i="9"/>
  <c r="D73" i="9"/>
  <c r="E73" i="9"/>
  <c r="B50" i="9"/>
  <c r="C73" i="9"/>
  <c r="E169" i="9" l="1"/>
  <c r="C166" i="9"/>
  <c r="C183" i="9" s="1"/>
  <c r="C84" i="9"/>
  <c r="B37" i="9"/>
  <c r="B39" i="9" s="1"/>
  <c r="D84" i="9"/>
  <c r="E84" i="9"/>
  <c r="C163" i="9"/>
  <c r="N233" i="9"/>
  <c r="O233" i="9" s="1"/>
  <c r="R233" i="9" s="1"/>
  <c r="S233" i="9" s="1"/>
  <c r="N231" i="9"/>
  <c r="O231" i="9" s="1"/>
  <c r="R231" i="9" s="1"/>
  <c r="S231" i="9" s="1"/>
  <c r="N232" i="9"/>
  <c r="O232" i="9" s="1"/>
  <c r="R232" i="9" s="1"/>
  <c r="S232" i="9" s="1"/>
  <c r="B51" i="9"/>
  <c r="N230" i="9"/>
  <c r="O230" i="9" s="1"/>
  <c r="R230" i="9" s="1"/>
  <c r="S230" i="9" s="1"/>
  <c r="D157" i="9"/>
  <c r="D166" i="9" s="1"/>
  <c r="D183" i="9" s="1"/>
  <c r="E157" i="9"/>
  <c r="E185" i="9" l="1"/>
  <c r="D185" i="9"/>
  <c r="C185" i="9"/>
  <c r="C169" i="9"/>
  <c r="C170" i="9" s="1"/>
  <c r="D169" i="9"/>
  <c r="D170" i="9" s="1"/>
  <c r="D17" i="15"/>
  <c r="E17" i="15"/>
  <c r="G17" i="15"/>
  <c r="F17" i="15"/>
  <c r="B17" i="15"/>
  <c r="H17" i="15"/>
  <c r="C17" i="15"/>
  <c r="C86" i="9"/>
  <c r="C110" i="9"/>
  <c r="E114" i="9"/>
  <c r="C114" i="9"/>
  <c r="D114" i="9"/>
  <c r="D85" i="9"/>
  <c r="D86" i="9"/>
  <c r="E85" i="9"/>
  <c r="E86" i="9"/>
  <c r="C85" i="9"/>
  <c r="E163" i="9"/>
  <c r="E166" i="9"/>
  <c r="D163" i="9"/>
  <c r="E87" i="9" l="1"/>
  <c r="E93" i="9" s="1"/>
  <c r="C87" i="9"/>
  <c r="C112" i="9" s="1"/>
  <c r="D87" i="9"/>
  <c r="E170" i="9"/>
  <c r="E183" i="9"/>
  <c r="B42" i="7" l="1"/>
  <c r="C66" i="7"/>
  <c r="D66" i="7" s="1"/>
  <c r="E66" i="7" s="1"/>
  <c r="C67" i="7"/>
  <c r="D67" i="7" s="1"/>
  <c r="C68" i="7"/>
  <c r="D68" i="7" s="1"/>
  <c r="E68" i="7" s="1"/>
  <c r="C69" i="7"/>
  <c r="D69" i="7" s="1"/>
  <c r="E69" i="7" s="1"/>
  <c r="C70" i="7"/>
  <c r="D70" i="7" s="1"/>
  <c r="E70" i="7" s="1"/>
  <c r="C71" i="7"/>
  <c r="D71" i="7" s="1"/>
  <c r="E71" i="7" s="1"/>
  <c r="C72" i="7"/>
  <c r="D72" i="7" s="1"/>
  <c r="E72" i="7" s="1"/>
  <c r="E67" i="7" l="1"/>
  <c r="C38" i="8" l="1"/>
  <c r="C38" i="7" l="1"/>
  <c r="P17" i="4" l="1"/>
  <c r="P18" i="4"/>
  <c r="P19" i="4"/>
  <c r="P20" i="4"/>
  <c r="K4" i="3"/>
  <c r="O5" i="6"/>
  <c r="N5" i="6"/>
  <c r="M5" i="6"/>
  <c r="L5" i="6"/>
  <c r="O5" i="3"/>
  <c r="N5" i="3"/>
  <c r="M5" i="3"/>
  <c r="L5" i="3"/>
  <c r="M12" i="12"/>
  <c r="E38" i="7" l="1"/>
  <c r="E39" i="7" s="1"/>
  <c r="E40" i="7" s="1"/>
  <c r="D38" i="7"/>
  <c r="D39" i="7" s="1"/>
  <c r="D40" i="7" s="1"/>
  <c r="B38" i="7"/>
  <c r="C39" i="7"/>
  <c r="C63" i="8"/>
  <c r="C62" i="8"/>
  <c r="C61" i="8"/>
  <c r="E33" i="7"/>
  <c r="E32" i="7"/>
  <c r="E31" i="7"/>
  <c r="E30" i="7"/>
  <c r="E29" i="7"/>
  <c r="E28" i="7"/>
  <c r="G43" i="7"/>
  <c r="G42" i="7"/>
  <c r="F42" i="7"/>
  <c r="E42" i="7"/>
  <c r="J40" i="7" l="1"/>
  <c r="J45" i="7" s="1"/>
  <c r="J43" i="7"/>
  <c r="J44" i="7"/>
  <c r="J14" i="10"/>
  <c r="B28" i="7"/>
  <c r="K31" i="12"/>
  <c r="V23" i="12"/>
  <c r="V20" i="12"/>
  <c r="V21" i="12" s="1"/>
  <c r="V22" i="12" s="1"/>
  <c r="V10" i="12"/>
  <c r="V11" i="12" s="1"/>
  <c r="V13" i="12" s="1"/>
  <c r="O14" i="11"/>
  <c r="N14" i="11"/>
  <c r="M14" i="11"/>
  <c r="L14" i="11"/>
  <c r="K14" i="11"/>
  <c r="K15" i="11" s="1"/>
  <c r="I14" i="11"/>
  <c r="M13" i="11"/>
  <c r="N13" i="11"/>
  <c r="O13" i="11"/>
  <c r="L13" i="11"/>
  <c r="L12" i="11"/>
  <c r="O12" i="11"/>
  <c r="N12" i="11"/>
  <c r="M12" i="11"/>
  <c r="I12" i="11"/>
  <c r="K11" i="11"/>
  <c r="K16" i="11" s="1"/>
  <c r="K8" i="11"/>
  <c r="K9" i="11" s="1"/>
  <c r="O6" i="11"/>
  <c r="N6" i="11"/>
  <c r="M6" i="11"/>
  <c r="L6" i="11"/>
  <c r="I6" i="11"/>
  <c r="O5" i="11"/>
  <c r="N5" i="11"/>
  <c r="M5" i="11"/>
  <c r="L5" i="11"/>
  <c r="E5" i="11"/>
  <c r="K4" i="10"/>
  <c r="K6" i="10" s="1"/>
  <c r="L4" i="10"/>
  <c r="M4" i="10"/>
  <c r="N4" i="10"/>
  <c r="O4" i="10"/>
  <c r="K17" i="3"/>
  <c r="K10" i="11" l="1"/>
  <c r="K21" i="11" s="1"/>
  <c r="K22" i="11"/>
  <c r="L38" i="7"/>
  <c r="L43" i="7" s="1"/>
  <c r="L39" i="7"/>
  <c r="L44" i="7" s="1"/>
  <c r="L40" i="7"/>
  <c r="L45" i="7" s="1"/>
  <c r="M38" i="7"/>
  <c r="M43" i="7" s="1"/>
  <c r="M39" i="7"/>
  <c r="M44" i="7" s="1"/>
  <c r="M40" i="7"/>
  <c r="M45" i="7" s="1"/>
  <c r="K39" i="7"/>
  <c r="K40" i="7"/>
  <c r="K38" i="7"/>
  <c r="V17" i="12"/>
  <c r="V14" i="12"/>
  <c r="V16" i="12"/>
  <c r="V31" i="12"/>
  <c r="K23" i="11"/>
  <c r="B30" i="7"/>
  <c r="B29" i="7"/>
  <c r="B31" i="7"/>
  <c r="B32" i="7"/>
  <c r="B33" i="7"/>
  <c r="H42" i="7"/>
  <c r="K5" i="6"/>
  <c r="K24" i="11" l="1"/>
  <c r="K20" i="6" s="1"/>
  <c r="V15" i="12"/>
  <c r="V32" i="12" s="1"/>
  <c r="AD39" i="12" s="1"/>
  <c r="V33" i="12"/>
  <c r="AD40" i="12" s="1"/>
  <c r="V18" i="12"/>
  <c r="V34" i="12" s="1"/>
  <c r="O7" i="10"/>
  <c r="M7" i="10"/>
  <c r="N7" i="10"/>
  <c r="K23" i="6"/>
  <c r="AD38" i="12"/>
  <c r="K25" i="6"/>
  <c r="K17" i="6"/>
  <c r="H39" i="7"/>
  <c r="H40" i="7" s="1"/>
  <c r="A37" i="7"/>
  <c r="E14" i="7"/>
  <c r="K59" i="6"/>
  <c r="K61" i="6" s="1"/>
  <c r="K58" i="6"/>
  <c r="K57" i="6"/>
  <c r="O51" i="6"/>
  <c r="N51" i="6"/>
  <c r="M51" i="6"/>
  <c r="H9" i="4" s="1"/>
  <c r="L51" i="6"/>
  <c r="K51" i="6"/>
  <c r="O50" i="6"/>
  <c r="N50" i="6"/>
  <c r="M50" i="6"/>
  <c r="L50" i="6"/>
  <c r="K50" i="6"/>
  <c r="O48" i="6"/>
  <c r="N48" i="6"/>
  <c r="M48" i="6"/>
  <c r="L48" i="6"/>
  <c r="K48" i="6"/>
  <c r="O46" i="6"/>
  <c r="N46" i="6"/>
  <c r="M46" i="6"/>
  <c r="L46" i="6"/>
  <c r="K46" i="6"/>
  <c r="O45" i="6"/>
  <c r="N45" i="6"/>
  <c r="M45" i="6"/>
  <c r="L45" i="6"/>
  <c r="K45" i="6"/>
  <c r="O44" i="6"/>
  <c r="N44" i="6"/>
  <c r="M44" i="6"/>
  <c r="L44" i="6"/>
  <c r="H11" i="4" s="1"/>
  <c r="K44" i="6"/>
  <c r="K35" i="6"/>
  <c r="K34" i="6"/>
  <c r="K33" i="6"/>
  <c r="K32" i="6"/>
  <c r="K31" i="6"/>
  <c r="K30" i="6"/>
  <c r="K29" i="6"/>
  <c r="K18" i="3" s="1"/>
  <c r="K21" i="6"/>
  <c r="K19" i="6"/>
  <c r="K18" i="6"/>
  <c r="K26" i="6" l="1"/>
  <c r="AD41" i="12"/>
  <c r="V35" i="12"/>
  <c r="AD42" i="12" s="1"/>
  <c r="K24" i="6"/>
  <c r="M47" i="6"/>
  <c r="N47" i="6"/>
  <c r="O47" i="6"/>
  <c r="L47" i="6"/>
  <c r="K47" i="6"/>
  <c r="B39" i="7"/>
  <c r="B43" i="7"/>
  <c r="K21" i="3"/>
  <c r="K27" i="6" l="1"/>
  <c r="D4" i="10"/>
  <c r="C2" i="15" s="1"/>
  <c r="E4" i="10"/>
  <c r="F4" i="10"/>
  <c r="G4" i="10"/>
  <c r="H4" i="10"/>
  <c r="I4" i="10"/>
  <c r="C4" i="10"/>
  <c r="G45" i="7"/>
  <c r="B2" i="16" l="1"/>
  <c r="B6" i="16" s="1"/>
  <c r="C4" i="11"/>
  <c r="A59" i="7"/>
  <c r="A60" i="7"/>
  <c r="A55" i="7"/>
  <c r="A56" i="7"/>
  <c r="A57" i="7"/>
  <c r="A58" i="7"/>
  <c r="A32" i="7"/>
  <c r="A33" i="7"/>
  <c r="C7" i="13" l="1"/>
  <c r="B28" i="16"/>
  <c r="B30" i="16" s="1"/>
  <c r="E20" i="2"/>
  <c r="C3" i="14" s="1"/>
  <c r="B65" i="16" l="1"/>
  <c r="C31" i="6" s="1"/>
  <c r="B31" i="16"/>
  <c r="B35" i="16" s="1"/>
  <c r="C10" i="9"/>
  <c r="D10" i="9" s="1"/>
  <c r="E10" i="9" s="1"/>
  <c r="E96" i="17" s="1"/>
  <c r="B38" i="16" l="1"/>
  <c r="B66" i="16" s="1"/>
  <c r="B52" i="16"/>
  <c r="C29" i="8"/>
  <c r="I10" i="13"/>
  <c r="H10" i="13"/>
  <c r="F10" i="13"/>
  <c r="C10" i="13"/>
  <c r="D10" i="13"/>
  <c r="E10" i="13"/>
  <c r="G10" i="13"/>
  <c r="J212" i="9"/>
  <c r="Y10" i="13" l="1"/>
  <c r="AE10" i="13"/>
  <c r="AD10" i="13"/>
  <c r="AH10" i="13"/>
  <c r="AF10" i="13"/>
  <c r="AG10" i="13"/>
  <c r="V10" i="13"/>
  <c r="W10" i="13"/>
  <c r="Z10" i="13"/>
  <c r="X10" i="13"/>
  <c r="G44" i="7"/>
  <c r="A28" i="7" l="1"/>
  <c r="A29" i="7"/>
  <c r="A30" i="7"/>
  <c r="A31" i="7"/>
  <c r="H16" i="15"/>
  <c r="A12" i="7"/>
  <c r="A13" i="7"/>
  <c r="A14" i="7"/>
  <c r="A15" i="7"/>
  <c r="E15" i="7"/>
  <c r="F15" i="7"/>
  <c r="G15" i="7"/>
  <c r="A16" i="7"/>
  <c r="G12" i="11"/>
  <c r="G14" i="11"/>
  <c r="H5" i="11"/>
  <c r="H6" i="11"/>
  <c r="M10" i="13"/>
  <c r="A38" i="7"/>
  <c r="A39" i="7"/>
  <c r="A44" i="7" s="1"/>
  <c r="A40" i="7"/>
  <c r="A45" i="7" s="1"/>
  <c r="S10" i="13"/>
  <c r="R10" i="13"/>
  <c r="Q10" i="13"/>
  <c r="P10" i="13"/>
  <c r="O10" i="13"/>
  <c r="N10" i="13"/>
  <c r="A20" i="7"/>
  <c r="A21" i="7"/>
  <c r="A22" i="7"/>
  <c r="A66" i="7"/>
  <c r="A67" i="7"/>
  <c r="A68" i="7"/>
  <c r="A69" i="7"/>
  <c r="A70" i="7"/>
  <c r="A71" i="7"/>
  <c r="A72" i="7"/>
  <c r="O12" i="12"/>
  <c r="N12" i="12"/>
  <c r="P12" i="12"/>
  <c r="Q12" i="12"/>
  <c r="R12" i="12"/>
  <c r="S12" i="12"/>
  <c r="K6" i="12"/>
  <c r="L2" i="12"/>
  <c r="M2" i="12"/>
  <c r="N2" i="12"/>
  <c r="O2" i="12"/>
  <c r="P2" i="12"/>
  <c r="Q2" i="12"/>
  <c r="R2" i="12"/>
  <c r="S2" i="12"/>
  <c r="K3" i="12"/>
  <c r="U3" i="12" s="1"/>
  <c r="L3" i="12"/>
  <c r="K4" i="12"/>
  <c r="L4" i="12"/>
  <c r="K5" i="12"/>
  <c r="L5" i="12"/>
  <c r="K7" i="12"/>
  <c r="L7" i="12"/>
  <c r="K8" i="12"/>
  <c r="L8" i="12"/>
  <c r="K9" i="12"/>
  <c r="L9" i="12"/>
  <c r="K10" i="12"/>
  <c r="L10" i="12"/>
  <c r="K11" i="12"/>
  <c r="L11" i="12"/>
  <c r="K12" i="12"/>
  <c r="L12" i="12"/>
  <c r="K13" i="12"/>
  <c r="L13" i="12"/>
  <c r="K14" i="12"/>
  <c r="L14" i="12"/>
  <c r="K15" i="12"/>
  <c r="L15" i="12"/>
  <c r="K16" i="12"/>
  <c r="L16" i="12"/>
  <c r="K17" i="12"/>
  <c r="L17" i="12"/>
  <c r="K18" i="12"/>
  <c r="L18" i="12"/>
  <c r="K19" i="12"/>
  <c r="L19" i="12"/>
  <c r="K20" i="12"/>
  <c r="L20" i="12"/>
  <c r="K21" i="12"/>
  <c r="L21" i="12"/>
  <c r="K22" i="12"/>
  <c r="L22" i="12"/>
  <c r="K23" i="12"/>
  <c r="L23" i="12"/>
  <c r="K24" i="12"/>
  <c r="L24" i="12"/>
  <c r="K25" i="12"/>
  <c r="L25" i="12"/>
  <c r="K26" i="12"/>
  <c r="L26" i="12"/>
  <c r="K27" i="12"/>
  <c r="L27" i="12"/>
  <c r="K28" i="12"/>
  <c r="L28" i="12"/>
  <c r="K16" i="3"/>
  <c r="K32" i="12"/>
  <c r="K39" i="12" s="1"/>
  <c r="L32" i="12"/>
  <c r="K34" i="12"/>
  <c r="K41" i="12" s="1"/>
  <c r="L34" i="12"/>
  <c r="K35" i="12"/>
  <c r="K42" i="12" s="1"/>
  <c r="L35" i="12"/>
  <c r="A49" i="7"/>
  <c r="A50" i="7"/>
  <c r="I210" i="9"/>
  <c r="I217" i="9" s="1"/>
  <c r="I208" i="9"/>
  <c r="I216" i="9" s="1"/>
  <c r="I206" i="9"/>
  <c r="I215" i="9" s="1"/>
  <c r="I204" i="9"/>
  <c r="I214" i="9" s="1"/>
  <c r="I202" i="9"/>
  <c r="I213" i="9" s="1"/>
  <c r="I200" i="9"/>
  <c r="I212" i="9" s="1"/>
  <c r="C5" i="9"/>
  <c r="D5" i="9" s="1"/>
  <c r="E5" i="9" s="1"/>
  <c r="C6" i="9"/>
  <c r="D6" i="9" s="1"/>
  <c r="C7" i="9"/>
  <c r="D7" i="9" s="1"/>
  <c r="E7" i="9" s="1"/>
  <c r="C8" i="9"/>
  <c r="D8" i="9" s="1"/>
  <c r="E8" i="9" s="1"/>
  <c r="E98" i="17" s="1"/>
  <c r="C9" i="9"/>
  <c r="D9" i="9" s="1"/>
  <c r="E9" i="9" s="1"/>
  <c r="C43" i="7"/>
  <c r="D43" i="7"/>
  <c r="F43" i="7"/>
  <c r="I5" i="11"/>
  <c r="I13" i="11"/>
  <c r="D2" i="4"/>
  <c r="B31" i="6"/>
  <c r="B33" i="6"/>
  <c r="B34" i="6"/>
  <c r="B35" i="6"/>
  <c r="B29" i="6"/>
  <c r="D2" i="3"/>
  <c r="F44" i="7"/>
  <c r="D16" i="15"/>
  <c r="E16" i="15"/>
  <c r="G16" i="15"/>
  <c r="B44" i="6"/>
  <c r="C6" i="11"/>
  <c r="C2" i="5"/>
  <c r="H12" i="11"/>
  <c r="H14" i="11"/>
  <c r="H13" i="11"/>
  <c r="H12" i="12"/>
  <c r="D5" i="11"/>
  <c r="D6" i="11"/>
  <c r="D12" i="11"/>
  <c r="D14" i="11"/>
  <c r="D13" i="11"/>
  <c r="F12" i="11"/>
  <c r="F14" i="11"/>
  <c r="F5" i="11"/>
  <c r="F6" i="11"/>
  <c r="D12" i="12"/>
  <c r="G6" i="11"/>
  <c r="E12" i="12"/>
  <c r="F12" i="12"/>
  <c r="G12" i="12"/>
  <c r="E6" i="11"/>
  <c r="E12" i="11"/>
  <c r="E14" i="11"/>
  <c r="E13" i="11"/>
  <c r="F13" i="11"/>
  <c r="G5" i="11"/>
  <c r="G13" i="11"/>
  <c r="B48" i="6"/>
  <c r="I21" i="7"/>
  <c r="C14" i="11"/>
  <c r="I22" i="7"/>
  <c r="I23" i="7"/>
  <c r="I24" i="7"/>
  <c r="D42" i="7"/>
  <c r="H15" i="7"/>
  <c r="E98" i="9"/>
  <c r="D98" i="9"/>
  <c r="B46" i="6"/>
  <c r="J217" i="9"/>
  <c r="J216" i="9"/>
  <c r="J215" i="9"/>
  <c r="J214" i="9"/>
  <c r="J213" i="9"/>
  <c r="E110" i="9"/>
  <c r="E96" i="9"/>
  <c r="D110" i="9"/>
  <c r="D96" i="9"/>
  <c r="D93" i="9"/>
  <c r="C99" i="9"/>
  <c r="B112" i="9"/>
  <c r="E103" i="9"/>
  <c r="D103" i="9"/>
  <c r="B99" i="9"/>
  <c r="B98" i="9"/>
  <c r="B97" i="9"/>
  <c r="B96" i="9"/>
  <c r="A23" i="7"/>
  <c r="A24" i="7"/>
  <c r="C42" i="7"/>
  <c r="B41" i="6"/>
  <c r="B38" i="6"/>
  <c r="B39" i="6"/>
  <c r="B37" i="6"/>
  <c r="B23" i="6"/>
  <c r="B27" i="6"/>
  <c r="B25" i="6"/>
  <c r="B26" i="6"/>
  <c r="B18" i="6"/>
  <c r="B19" i="6"/>
  <c r="B20" i="6"/>
  <c r="C50" i="7"/>
  <c r="D8" i="2"/>
  <c r="B50" i="7"/>
  <c r="C2" i="6"/>
  <c r="F45" i="7"/>
  <c r="C8" i="11" l="1"/>
  <c r="C11" i="11"/>
  <c r="C16" i="11" s="1"/>
  <c r="C23" i="11" s="1"/>
  <c r="C19" i="6" s="1"/>
  <c r="AH9" i="13"/>
  <c r="AG9" i="13"/>
  <c r="AF9" i="13"/>
  <c r="AD9" i="13"/>
  <c r="AE9" i="13"/>
  <c r="H10" i="10"/>
  <c r="Y9" i="13"/>
  <c r="S9" i="13"/>
  <c r="D9" i="13"/>
  <c r="H9" i="13"/>
  <c r="Z9" i="13"/>
  <c r="M9" i="13"/>
  <c r="V9" i="13"/>
  <c r="C9" i="13"/>
  <c r="E9" i="13"/>
  <c r="X9" i="13"/>
  <c r="N9" i="13"/>
  <c r="F9" i="13"/>
  <c r="P9" i="13"/>
  <c r="R9" i="13"/>
  <c r="O9" i="13"/>
  <c r="G9" i="13"/>
  <c r="W9" i="13"/>
  <c r="Q9" i="13"/>
  <c r="I9" i="13"/>
  <c r="H16" i="7"/>
  <c r="J16" i="7" s="1"/>
  <c r="J15" i="7"/>
  <c r="N3" i="14"/>
  <c r="P3" i="14"/>
  <c r="M3" i="14"/>
  <c r="O3" i="14"/>
  <c r="Q3" i="14"/>
  <c r="E3" i="14"/>
  <c r="C93" i="9"/>
  <c r="I7" i="10"/>
  <c r="F7" i="10"/>
  <c r="D5" i="12"/>
  <c r="N5" i="12" s="1"/>
  <c r="N6" i="12" s="1"/>
  <c r="Z5" i="12"/>
  <c r="AH5" i="12" s="1"/>
  <c r="AH6" i="12" s="1"/>
  <c r="W5" i="12"/>
  <c r="AE5" i="12" s="1"/>
  <c r="AE6" i="12" s="1"/>
  <c r="Y5" i="12"/>
  <c r="AG5" i="12" s="1"/>
  <c r="AG6" i="12" s="1"/>
  <c r="X5" i="12"/>
  <c r="AF5" i="12" s="1"/>
  <c r="AF6" i="12" s="1"/>
  <c r="G5" i="12"/>
  <c r="Q5" i="12" s="1"/>
  <c r="Q6" i="12" s="1"/>
  <c r="C3" i="11"/>
  <c r="L5" i="10"/>
  <c r="L6" i="10" s="1"/>
  <c r="L13" i="10" s="1"/>
  <c r="AE43" i="12" s="1"/>
  <c r="I5" i="10"/>
  <c r="I6" i="10" s="1"/>
  <c r="I3" i="12" s="1"/>
  <c r="I4" i="12" s="1"/>
  <c r="M5" i="10"/>
  <c r="M6" i="10" s="1"/>
  <c r="M13" i="10" s="1"/>
  <c r="O3" i="11"/>
  <c r="N3" i="11"/>
  <c r="G3" i="11"/>
  <c r="F3" i="11"/>
  <c r="N4" i="11" s="1"/>
  <c r="Y7" i="13" s="1"/>
  <c r="M3" i="11"/>
  <c r="L3" i="11"/>
  <c r="K3" i="11"/>
  <c r="O5" i="10"/>
  <c r="O6" i="10" s="1"/>
  <c r="N5" i="10"/>
  <c r="N6" i="10" s="1"/>
  <c r="N13" i="10" s="1"/>
  <c r="AG43" i="12" s="1"/>
  <c r="N9" i="10"/>
  <c r="I9" i="10"/>
  <c r="O8" i="10"/>
  <c r="M9" i="10"/>
  <c r="N8" i="10"/>
  <c r="K9" i="10"/>
  <c r="M8" i="10"/>
  <c r="F8" i="10"/>
  <c r="F9" i="10"/>
  <c r="I8" i="10"/>
  <c r="O9" i="10"/>
  <c r="K8" i="10"/>
  <c r="E6" i="9"/>
  <c r="E95" i="17" s="1"/>
  <c r="K19" i="3"/>
  <c r="K15" i="6"/>
  <c r="K13" i="3" s="1"/>
  <c r="C8" i="10"/>
  <c r="C9" i="10"/>
  <c r="B40" i="7"/>
  <c r="B45" i="7" s="1"/>
  <c r="A42" i="7"/>
  <c r="C7" i="10"/>
  <c r="F5" i="10"/>
  <c r="F6" i="10" s="1"/>
  <c r="E5" i="10"/>
  <c r="E6" i="10" s="1"/>
  <c r="H5" i="10"/>
  <c r="K208" i="9"/>
  <c r="L208" i="9" s="1"/>
  <c r="M208" i="9" s="1"/>
  <c r="K203" i="9"/>
  <c r="L203" i="9" s="1"/>
  <c r="M203" i="9" s="1"/>
  <c r="K201" i="9"/>
  <c r="L201" i="9" s="1"/>
  <c r="M201" i="9" s="1"/>
  <c r="K206" i="9"/>
  <c r="L206" i="9" s="1"/>
  <c r="M206" i="9" s="1"/>
  <c r="K209" i="9"/>
  <c r="L209" i="9" s="1"/>
  <c r="M209" i="9" s="1"/>
  <c r="K199" i="9"/>
  <c r="L199" i="9" s="1"/>
  <c r="M199" i="9" s="1"/>
  <c r="K204" i="9"/>
  <c r="L204" i="9" s="1"/>
  <c r="M204" i="9" s="1"/>
  <c r="K200" i="9"/>
  <c r="L200" i="9" s="1"/>
  <c r="M200" i="9" s="1"/>
  <c r="K202" i="9"/>
  <c r="L202" i="9" s="1"/>
  <c r="M202" i="9" s="1"/>
  <c r="K210" i="9"/>
  <c r="L210" i="9" s="1"/>
  <c r="M210" i="9" s="1"/>
  <c r="K207" i="9"/>
  <c r="L207" i="9" s="1"/>
  <c r="M207" i="9" s="1"/>
  <c r="K205" i="9"/>
  <c r="L205" i="9" s="1"/>
  <c r="M205" i="9" s="1"/>
  <c r="E7" i="10"/>
  <c r="I3" i="14"/>
  <c r="E9" i="10"/>
  <c r="H9" i="10"/>
  <c r="D9" i="10"/>
  <c r="G9" i="10"/>
  <c r="D3" i="14"/>
  <c r="G8" i="10"/>
  <c r="H3" i="14"/>
  <c r="E8" i="10"/>
  <c r="H8" i="10"/>
  <c r="G3" i="14"/>
  <c r="D8" i="10"/>
  <c r="F3" i="14"/>
  <c r="A43" i="7"/>
  <c r="E3" i="11"/>
  <c r="D3" i="11"/>
  <c r="C5" i="10"/>
  <c r="C6" i="10" s="1"/>
  <c r="H3" i="11"/>
  <c r="H4" i="11" s="1"/>
  <c r="I3" i="11"/>
  <c r="D5" i="10"/>
  <c r="E43" i="7"/>
  <c r="F5" i="12"/>
  <c r="P5" i="12" s="1"/>
  <c r="P6" i="12" s="1"/>
  <c r="H43" i="7"/>
  <c r="H7" i="10"/>
  <c r="E5" i="12"/>
  <c r="O5" i="12" s="1"/>
  <c r="O6" i="12" s="1"/>
  <c r="E4" i="9"/>
  <c r="E97" i="17" s="1"/>
  <c r="B2" i="15"/>
  <c r="B8" i="15" s="1"/>
  <c r="E112" i="9"/>
  <c r="G5" i="10"/>
  <c r="I10" i="10"/>
  <c r="E44" i="7"/>
  <c r="G7" i="10"/>
  <c r="I5" i="12"/>
  <c r="S5" i="12" s="1"/>
  <c r="S6" i="12" s="1"/>
  <c r="H44" i="7"/>
  <c r="D7" i="10"/>
  <c r="E45" i="7"/>
  <c r="H5" i="12"/>
  <c r="R5" i="12" s="1"/>
  <c r="R6" i="12" s="1"/>
  <c r="D2" i="15"/>
  <c r="B64" i="16"/>
  <c r="C29" i="6" s="1"/>
  <c r="C18" i="3" s="1"/>
  <c r="M14" i="10" l="1"/>
  <c r="C13" i="10"/>
  <c r="M43" i="12" s="1"/>
  <c r="W3" i="12"/>
  <c r="AE3" i="12" s="1"/>
  <c r="H6" i="17"/>
  <c r="I5" i="22"/>
  <c r="I7" i="22" s="1"/>
  <c r="C10" i="22" s="1"/>
  <c r="C100" i="22" s="1"/>
  <c r="AF43" i="12"/>
  <c r="C9" i="11"/>
  <c r="C21" i="11"/>
  <c r="C18" i="6" s="1"/>
  <c r="O4" i="11"/>
  <c r="Z7" i="13" s="1"/>
  <c r="H5" i="21"/>
  <c r="H6" i="21" s="1"/>
  <c r="H7" i="21" s="1"/>
  <c r="Y8" i="13"/>
  <c r="AG7" i="13"/>
  <c r="AG8" i="13" s="1"/>
  <c r="G11" i="13"/>
  <c r="H11" i="13"/>
  <c r="I11" i="13"/>
  <c r="D11" i="13"/>
  <c r="C11" i="13"/>
  <c r="E11" i="13"/>
  <c r="F11" i="13"/>
  <c r="F4" i="11"/>
  <c r="C28" i="8"/>
  <c r="C179" i="9"/>
  <c r="C187" i="9" s="1"/>
  <c r="C188" i="9" s="1"/>
  <c r="E179" i="9"/>
  <c r="D179" i="9"/>
  <c r="C109" i="9"/>
  <c r="E109" i="9"/>
  <c r="D109" i="9"/>
  <c r="Y3" i="12"/>
  <c r="G4" i="11"/>
  <c r="G11" i="11" s="1"/>
  <c r="G16" i="11" s="1"/>
  <c r="Z3" i="12"/>
  <c r="O13" i="10"/>
  <c r="AH43" i="12" s="1"/>
  <c r="X3" i="12"/>
  <c r="AF3" i="12" s="1"/>
  <c r="O4" i="14"/>
  <c r="O5" i="14" s="1"/>
  <c r="K13" i="10"/>
  <c r="AD43" i="12" s="1"/>
  <c r="AD44" i="12" s="1"/>
  <c r="V3" i="12"/>
  <c r="AD3" i="12" s="1"/>
  <c r="N15" i="11"/>
  <c r="N8" i="11"/>
  <c r="N9" i="11" s="1"/>
  <c r="N11" i="11"/>
  <c r="N16" i="11" s="1"/>
  <c r="I7" i="12"/>
  <c r="L4" i="11"/>
  <c r="W7" i="13" s="1"/>
  <c r="D4" i="11"/>
  <c r="E4" i="11"/>
  <c r="E15" i="11" s="1"/>
  <c r="M4" i="11"/>
  <c r="X7" i="13" s="1"/>
  <c r="I4" i="11"/>
  <c r="I8" i="11" s="1"/>
  <c r="I21" i="11" s="1"/>
  <c r="D6" i="10"/>
  <c r="D3" i="12" s="1"/>
  <c r="B44" i="7"/>
  <c r="M212" i="9"/>
  <c r="M216" i="9"/>
  <c r="M217" i="9"/>
  <c r="E13" i="10"/>
  <c r="O43" i="12" s="1"/>
  <c r="M215" i="9"/>
  <c r="M213" i="9"/>
  <c r="M214" i="9"/>
  <c r="H8" i="11"/>
  <c r="H11" i="11"/>
  <c r="H16" i="11" s="1"/>
  <c r="H7" i="13"/>
  <c r="H15" i="11"/>
  <c r="H45" i="7"/>
  <c r="C44" i="7"/>
  <c r="C40" i="7"/>
  <c r="C45" i="7" s="1"/>
  <c r="D45" i="7"/>
  <c r="D44" i="7"/>
  <c r="C100" i="9"/>
  <c r="C3" i="12"/>
  <c r="C4" i="12" s="1"/>
  <c r="C7" i="12" s="1"/>
  <c r="C8" i="12" s="1"/>
  <c r="D112" i="9"/>
  <c r="E3" i="12"/>
  <c r="E4" i="12" s="1"/>
  <c r="E2" i="15"/>
  <c r="N4" i="14" l="1"/>
  <c r="N5" i="14" s="1"/>
  <c r="D4" i="12"/>
  <c r="D7" i="12" s="1"/>
  <c r="D8" i="12" s="1"/>
  <c r="D9" i="12" s="1"/>
  <c r="D10" i="12" s="1"/>
  <c r="D11" i="12" s="1"/>
  <c r="E6" i="3"/>
  <c r="E7" i="3" s="1"/>
  <c r="C14" i="10"/>
  <c r="C17" i="10" s="1"/>
  <c r="D11" i="11"/>
  <c r="D16" i="11" s="1"/>
  <c r="D8" i="11"/>
  <c r="N10" i="11"/>
  <c r="N21" i="11" s="1"/>
  <c r="N18" i="6" s="1"/>
  <c r="N20" i="3" s="1"/>
  <c r="N22" i="11"/>
  <c r="C10" i="11"/>
  <c r="C22" i="11"/>
  <c r="C24" i="11" s="1"/>
  <c r="C20" i="6" s="1"/>
  <c r="H9" i="11"/>
  <c r="H21" i="11"/>
  <c r="F8" i="11"/>
  <c r="O11" i="11"/>
  <c r="O16" i="11" s="1"/>
  <c r="O8" i="11"/>
  <c r="O9" i="11" s="1"/>
  <c r="O15" i="11"/>
  <c r="G8" i="11"/>
  <c r="K5" i="22"/>
  <c r="Z8" i="13"/>
  <c r="Z24" i="12" s="1"/>
  <c r="AH7" i="13"/>
  <c r="AH8" i="13" s="1"/>
  <c r="I6" i="18"/>
  <c r="I5" i="18" s="1"/>
  <c r="J5" i="21"/>
  <c r="J8" i="21"/>
  <c r="J9" i="21" s="1"/>
  <c r="C99" i="21"/>
  <c r="M90" i="21"/>
  <c r="H8" i="21"/>
  <c r="C115" i="21" s="1"/>
  <c r="C112" i="17"/>
  <c r="F112" i="17" s="1"/>
  <c r="N83" i="17"/>
  <c r="G7" i="13"/>
  <c r="G8" i="13" s="1"/>
  <c r="G24" i="12" s="1"/>
  <c r="J6" i="21"/>
  <c r="N83" i="21"/>
  <c r="C112" i="21"/>
  <c r="F112" i="21" s="1"/>
  <c r="L14" i="10"/>
  <c r="L17" i="10" s="1"/>
  <c r="B3" i="15"/>
  <c r="B5" i="15" s="1"/>
  <c r="B34" i="15" s="1"/>
  <c r="B3" i="16"/>
  <c r="B4" i="16" s="1"/>
  <c r="B5" i="16" s="1"/>
  <c r="G15" i="11"/>
  <c r="G23" i="11" s="1"/>
  <c r="G19" i="6" s="1"/>
  <c r="E187" i="9"/>
  <c r="C115" i="9"/>
  <c r="C116" i="9" s="1"/>
  <c r="C117" i="9" s="1"/>
  <c r="K14" i="10"/>
  <c r="K17" i="10" s="1"/>
  <c r="X8" i="13"/>
  <c r="AF7" i="13"/>
  <c r="AF8" i="13" s="1"/>
  <c r="Y24" i="12"/>
  <c r="AG24" i="12"/>
  <c r="W8" i="13"/>
  <c r="AE7" i="13"/>
  <c r="AE8" i="13" s="1"/>
  <c r="F15" i="11"/>
  <c r="F7" i="13"/>
  <c r="F8" i="13" s="1"/>
  <c r="F24" i="12" s="1"/>
  <c r="F11" i="11"/>
  <c r="F16" i="11" s="1"/>
  <c r="N14" i="10"/>
  <c r="N17" i="10" s="1"/>
  <c r="J6" i="17"/>
  <c r="D188" i="9"/>
  <c r="D189" i="9" s="1"/>
  <c r="D190" i="9" s="1"/>
  <c r="D191" i="9" s="1"/>
  <c r="D187" i="9"/>
  <c r="M3" i="12"/>
  <c r="Z4" i="12"/>
  <c r="AH3" i="12"/>
  <c r="Y4" i="12"/>
  <c r="AG3" i="12"/>
  <c r="I8" i="12"/>
  <c r="I9" i="12" s="1"/>
  <c r="C4" i="14"/>
  <c r="C5" i="14" s="1"/>
  <c r="X4" i="12"/>
  <c r="W4" i="12"/>
  <c r="C30" i="8"/>
  <c r="E188" i="9"/>
  <c r="E189" i="9" s="1"/>
  <c r="E190" i="9" s="1"/>
  <c r="E191" i="9" s="1"/>
  <c r="I7" i="13"/>
  <c r="S7" i="13" s="1"/>
  <c r="S8" i="13" s="1"/>
  <c r="N23" i="11"/>
  <c r="N19" i="6" s="1"/>
  <c r="M17" i="10"/>
  <c r="O8" i="14"/>
  <c r="M6" i="6"/>
  <c r="M6" i="3"/>
  <c r="M7" i="3" s="1"/>
  <c r="M4" i="14"/>
  <c r="K6" i="3"/>
  <c r="K6" i="6"/>
  <c r="O6" i="3"/>
  <c r="O7" i="3" s="1"/>
  <c r="Q4" i="14"/>
  <c r="O6" i="6"/>
  <c r="E8" i="11"/>
  <c r="O14" i="10"/>
  <c r="O17" i="10" s="1"/>
  <c r="N6" i="6"/>
  <c r="N6" i="3"/>
  <c r="N7" i="3" s="1"/>
  <c r="P4" i="14"/>
  <c r="P5" i="14" s="1"/>
  <c r="L6" i="6"/>
  <c r="L6" i="3"/>
  <c r="L7" i="3" s="1"/>
  <c r="M15" i="11"/>
  <c r="M8" i="11"/>
  <c r="M9" i="11" s="1"/>
  <c r="M11" i="11"/>
  <c r="M16" i="11" s="1"/>
  <c r="E11" i="11"/>
  <c r="E16" i="11" s="1"/>
  <c r="E23" i="11" s="1"/>
  <c r="D15" i="11"/>
  <c r="L8" i="11"/>
  <c r="L9" i="11" s="1"/>
  <c r="L15" i="11"/>
  <c r="L11" i="11"/>
  <c r="L16" i="11" s="1"/>
  <c r="E7" i="13"/>
  <c r="E8" i="13" s="1"/>
  <c r="O24" i="12" s="1"/>
  <c r="I11" i="11"/>
  <c r="I16" i="11" s="1"/>
  <c r="I15" i="11"/>
  <c r="I9" i="11"/>
  <c r="D13" i="10"/>
  <c r="N43" i="12" s="1"/>
  <c r="C6" i="3"/>
  <c r="C7" i="3" s="1"/>
  <c r="N3" i="12"/>
  <c r="F3" i="12"/>
  <c r="F13" i="10"/>
  <c r="P43" i="12" s="1"/>
  <c r="E14" i="10"/>
  <c r="E17" i="10" s="1"/>
  <c r="E6" i="6"/>
  <c r="E6" i="5"/>
  <c r="E7" i="5" s="1"/>
  <c r="D3" i="15"/>
  <c r="D26" i="15" s="1"/>
  <c r="E4" i="14"/>
  <c r="E5" i="14" s="1"/>
  <c r="D7" i="13"/>
  <c r="D8" i="13" s="1"/>
  <c r="R7" i="13"/>
  <c r="R8" i="13" s="1"/>
  <c r="H8" i="13"/>
  <c r="R24" i="12" s="1"/>
  <c r="R25" i="12" s="1"/>
  <c r="R26" i="12" s="1"/>
  <c r="R27" i="12" s="1"/>
  <c r="H23" i="11"/>
  <c r="H19" i="6" s="1"/>
  <c r="O3" i="12"/>
  <c r="O4" i="12"/>
  <c r="O7" i="12" s="1"/>
  <c r="O8" i="12" s="1"/>
  <c r="O9" i="12" s="1"/>
  <c r="C6" i="6"/>
  <c r="C6" i="5"/>
  <c r="C7" i="5" s="1"/>
  <c r="F2" i="15"/>
  <c r="G6" i="10"/>
  <c r="G13" i="10" s="1"/>
  <c r="Q43" i="12" s="1"/>
  <c r="AG4" i="12" l="1"/>
  <c r="AG7" i="12" s="1"/>
  <c r="AG8" i="12" s="1"/>
  <c r="AG9" i="12" s="1"/>
  <c r="AG3" i="13" s="1"/>
  <c r="Y7" i="12"/>
  <c r="Y8" i="12" s="1"/>
  <c r="Y9" i="12" s="1"/>
  <c r="N4" i="12"/>
  <c r="N7" i="12" s="1"/>
  <c r="N8" i="12" s="1"/>
  <c r="N9" i="12" s="1"/>
  <c r="AE4" i="12"/>
  <c r="AE7" i="12" s="1"/>
  <c r="AE8" i="12" s="1"/>
  <c r="AE9" i="12" s="1"/>
  <c r="AE3" i="13" s="1"/>
  <c r="W7" i="12"/>
  <c r="W8" i="12" s="1"/>
  <c r="F4" i="12"/>
  <c r="F7" i="12" s="1"/>
  <c r="F8" i="12" s="1"/>
  <c r="B39" i="15"/>
  <c r="C56" i="6" s="1"/>
  <c r="B26" i="15"/>
  <c r="D14" i="10"/>
  <c r="D17" i="10" s="1"/>
  <c r="F6" i="3"/>
  <c r="F7" i="3" s="1"/>
  <c r="N24" i="11"/>
  <c r="N20" i="6" s="1"/>
  <c r="E8" i="6"/>
  <c r="C8" i="6"/>
  <c r="M10" i="11"/>
  <c r="M21" i="11" s="1"/>
  <c r="M18" i="6" s="1"/>
  <c r="M20" i="3" s="1"/>
  <c r="M22" i="11"/>
  <c r="O10" i="11"/>
  <c r="O21" i="11" s="1"/>
  <c r="O18" i="6" s="1"/>
  <c r="O22" i="11"/>
  <c r="L10" i="11"/>
  <c r="L21" i="11" s="1"/>
  <c r="L18" i="6" s="1"/>
  <c r="L22" i="11"/>
  <c r="I10" i="11"/>
  <c r="I22" i="11"/>
  <c r="H10" i="11"/>
  <c r="H22" i="11"/>
  <c r="H24" i="11" s="1"/>
  <c r="D9" i="11"/>
  <c r="D21" i="11"/>
  <c r="D18" i="6" s="1"/>
  <c r="D20" i="3" s="1"/>
  <c r="F9" i="11"/>
  <c r="F21" i="11"/>
  <c r="G9" i="11"/>
  <c r="G21" i="11"/>
  <c r="E9" i="11"/>
  <c r="E21" i="11"/>
  <c r="H18" i="6"/>
  <c r="H20" i="3" s="1"/>
  <c r="O23" i="11"/>
  <c r="O19" i="6" s="1"/>
  <c r="D11" i="15"/>
  <c r="E44" i="6" s="1"/>
  <c r="D39" i="15"/>
  <c r="E56" i="6" s="1"/>
  <c r="B18" i="15"/>
  <c r="B11" i="15"/>
  <c r="C44" i="6" s="1"/>
  <c r="P7" i="13"/>
  <c r="P8" i="13" s="1"/>
  <c r="P24" i="12"/>
  <c r="P25" i="12" s="1"/>
  <c r="P26" i="12" s="1"/>
  <c r="P27" i="12" s="1"/>
  <c r="Q7" i="13"/>
  <c r="Q8" i="13" s="1"/>
  <c r="AH24" i="12"/>
  <c r="AH25" i="12" s="1"/>
  <c r="AH26" i="12" s="1"/>
  <c r="AH27" i="12" s="1"/>
  <c r="C75" i="22"/>
  <c r="M33" i="22"/>
  <c r="C15" i="22"/>
  <c r="C88" i="22"/>
  <c r="K7" i="22"/>
  <c r="M37" i="22"/>
  <c r="G30" i="7"/>
  <c r="G31" i="7"/>
  <c r="D31" i="7" s="1"/>
  <c r="C31" i="7" s="1"/>
  <c r="G32" i="7"/>
  <c r="G33" i="7"/>
  <c r="G29" i="7"/>
  <c r="G28" i="7"/>
  <c r="D195" i="9"/>
  <c r="D196" i="9" s="1"/>
  <c r="D197" i="9" s="1"/>
  <c r="E195" i="9"/>
  <c r="E196" i="9" s="1"/>
  <c r="E197" i="9"/>
  <c r="M41" i="6"/>
  <c r="M42" i="6" s="1"/>
  <c r="E24" i="12"/>
  <c r="E25" i="12" s="1"/>
  <c r="E26" i="12" s="1"/>
  <c r="E27" i="12" s="1"/>
  <c r="J7" i="21"/>
  <c r="M91" i="21" s="1"/>
  <c r="M96" i="21" s="1"/>
  <c r="K6" i="18"/>
  <c r="G6" i="4"/>
  <c r="N75" i="21"/>
  <c r="M94" i="21" s="1"/>
  <c r="C6" i="19" s="1"/>
  <c r="C111" i="21"/>
  <c r="F111" i="21" s="1"/>
  <c r="M95" i="17"/>
  <c r="N84" i="17"/>
  <c r="Q5" i="14"/>
  <c r="Q8" i="14" s="1"/>
  <c r="F115" i="21"/>
  <c r="H9" i="21"/>
  <c r="I9" i="21"/>
  <c r="C10" i="21"/>
  <c r="M5" i="14"/>
  <c r="M8" i="14" s="1"/>
  <c r="K41" i="6" s="1"/>
  <c r="K42" i="6" s="1"/>
  <c r="M95" i="21"/>
  <c r="N84" i="21"/>
  <c r="C118" i="9"/>
  <c r="N75" i="17"/>
  <c r="M94" i="17" s="1"/>
  <c r="C5" i="19" s="1"/>
  <c r="D33" i="7"/>
  <c r="C33" i="7" s="1"/>
  <c r="D29" i="7"/>
  <c r="C29" i="7" s="1"/>
  <c r="D30" i="7"/>
  <c r="D32" i="7"/>
  <c r="C32" i="7" s="1"/>
  <c r="C111" i="17"/>
  <c r="F111" i="17" s="1"/>
  <c r="F23" i="11"/>
  <c r="F19" i="6" s="1"/>
  <c r="J5" i="17"/>
  <c r="W24" i="12"/>
  <c r="AE24" i="12"/>
  <c r="AG25" i="12"/>
  <c r="AG26" i="12" s="1"/>
  <c r="AG27" i="12" s="1"/>
  <c r="AG28" i="12"/>
  <c r="Y28" i="12"/>
  <c r="Y25" i="12"/>
  <c r="Y26" i="12" s="1"/>
  <c r="Y27" i="12" s="1"/>
  <c r="Z25" i="12"/>
  <c r="Z26" i="12" s="1"/>
  <c r="Z27" i="12" s="1"/>
  <c r="Z28" i="12"/>
  <c r="X24" i="12"/>
  <c r="AF24" i="12"/>
  <c r="I7" i="18"/>
  <c r="K5" i="18"/>
  <c r="H7" i="17"/>
  <c r="C99" i="17" s="1"/>
  <c r="AH11" i="13"/>
  <c r="AG11" i="13"/>
  <c r="AF11" i="13"/>
  <c r="AE11" i="13"/>
  <c r="AD11" i="13"/>
  <c r="AD12" i="13" s="1"/>
  <c r="C9" i="12"/>
  <c r="C3" i="13" s="1"/>
  <c r="M4" i="12"/>
  <c r="M7" i="12" s="1"/>
  <c r="M8" i="12" s="1"/>
  <c r="X7" i="12"/>
  <c r="X8" i="12" s="1"/>
  <c r="X9" i="12" s="1"/>
  <c r="X10" i="12" s="1"/>
  <c r="X11" i="12" s="1"/>
  <c r="X13" i="12" s="1"/>
  <c r="X14" i="12" s="1"/>
  <c r="X15" i="12" s="1"/>
  <c r="AF4" i="12"/>
  <c r="AF7" i="12" s="1"/>
  <c r="AF8" i="12" s="1"/>
  <c r="AF9" i="12" s="1"/>
  <c r="Z7" i="12"/>
  <c r="Z8" i="12" s="1"/>
  <c r="Z9" i="12" s="1"/>
  <c r="AH4" i="12"/>
  <c r="AH7" i="12" s="1"/>
  <c r="AH8" i="12" s="1"/>
  <c r="AH9" i="12" s="1"/>
  <c r="I8" i="13"/>
  <c r="S24" i="12" s="1"/>
  <c r="I10" i="12"/>
  <c r="I3" i="13"/>
  <c r="I5" i="13" s="1"/>
  <c r="D24" i="12"/>
  <c r="D28" i="12" s="1"/>
  <c r="P8" i="14"/>
  <c r="Z11" i="13"/>
  <c r="Y11" i="13"/>
  <c r="X11" i="13"/>
  <c r="W11" i="13"/>
  <c r="V11" i="13"/>
  <c r="V12" i="13" s="1"/>
  <c r="O11" i="13"/>
  <c r="P11" i="13"/>
  <c r="M11" i="13"/>
  <c r="Q11" i="13"/>
  <c r="N11" i="13"/>
  <c r="R11" i="13"/>
  <c r="S11" i="13"/>
  <c r="E99" i="9"/>
  <c r="E100" i="9" s="1"/>
  <c r="D99" i="9"/>
  <c r="D100" i="9" s="1"/>
  <c r="O7" i="13"/>
  <c r="O8" i="13" s="1"/>
  <c r="E19" i="6"/>
  <c r="M23" i="11"/>
  <c r="N8" i="6"/>
  <c r="N7" i="6"/>
  <c r="D6" i="3"/>
  <c r="D7" i="3" s="1"/>
  <c r="D6" i="5"/>
  <c r="D7" i="5" s="1"/>
  <c r="D4" i="14"/>
  <c r="D5" i="14" s="1"/>
  <c r="K7" i="3"/>
  <c r="O7" i="6"/>
  <c r="O8" i="6"/>
  <c r="L8" i="6"/>
  <c r="L7" i="6"/>
  <c r="M8" i="6"/>
  <c r="M7" i="6"/>
  <c r="D6" i="6"/>
  <c r="C3" i="15"/>
  <c r="C26" i="15" s="1"/>
  <c r="K7" i="6"/>
  <c r="K8" i="6"/>
  <c r="D23" i="11"/>
  <c r="L23" i="11"/>
  <c r="I23" i="11"/>
  <c r="I18" i="6"/>
  <c r="D16" i="12"/>
  <c r="D3" i="13"/>
  <c r="D5" i="13" s="1"/>
  <c r="E7" i="6"/>
  <c r="D6" i="15"/>
  <c r="D7" i="15" s="1"/>
  <c r="D18" i="15"/>
  <c r="D20" i="15" s="1"/>
  <c r="D5" i="15"/>
  <c r="D34" i="15" s="1"/>
  <c r="Q24" i="12"/>
  <c r="Q25" i="12" s="1"/>
  <c r="Q26" i="12" s="1"/>
  <c r="Q27" i="12" s="1"/>
  <c r="B45" i="16"/>
  <c r="C32" i="6" s="1"/>
  <c r="N7" i="13"/>
  <c r="N8" i="13" s="1"/>
  <c r="G28" i="12"/>
  <c r="G25" i="12"/>
  <c r="G26" i="12" s="1"/>
  <c r="G27" i="12" s="1"/>
  <c r="H24" i="12"/>
  <c r="H28" i="12" s="1"/>
  <c r="O10" i="12"/>
  <c r="O11" i="12" s="1"/>
  <c r="R28" i="12"/>
  <c r="C7" i="6"/>
  <c r="B6" i="15"/>
  <c r="B7" i="15" s="1"/>
  <c r="E7" i="12"/>
  <c r="G6" i="3"/>
  <c r="G3" i="12"/>
  <c r="G4" i="12" s="1"/>
  <c r="P3" i="12"/>
  <c r="F4" i="14"/>
  <c r="F5" i="14" s="1"/>
  <c r="F14" i="10"/>
  <c r="F17" i="10" s="1"/>
  <c r="F6" i="5"/>
  <c r="F7" i="5" s="1"/>
  <c r="F6" i="6"/>
  <c r="E3" i="15"/>
  <c r="E26" i="15" s="1"/>
  <c r="G2" i="15"/>
  <c r="H6" i="10"/>
  <c r="H13" i="10" s="1"/>
  <c r="R43" i="12" s="1"/>
  <c r="O3" i="13"/>
  <c r="O28" i="12"/>
  <c r="O25" i="12"/>
  <c r="O26" i="12" s="1"/>
  <c r="O27" i="12" s="1"/>
  <c r="F28" i="12"/>
  <c r="F25" i="12"/>
  <c r="F26" i="12" s="1"/>
  <c r="F27" i="12" s="1"/>
  <c r="C17" i="13" l="1"/>
  <c r="C5" i="13"/>
  <c r="B48" i="16"/>
  <c r="B54" i="16" s="1"/>
  <c r="B67" i="16" s="1"/>
  <c r="B68" i="16" s="1"/>
  <c r="C34" i="6" s="1"/>
  <c r="C21" i="3" s="1"/>
  <c r="AG10" i="12"/>
  <c r="AG11" i="12" s="1"/>
  <c r="AG17" i="12" s="1"/>
  <c r="W9" i="12"/>
  <c r="W10" i="12" s="1"/>
  <c r="W11" i="12" s="1"/>
  <c r="O20" i="3"/>
  <c r="AE10" i="12"/>
  <c r="AE11" i="12" s="1"/>
  <c r="AE16" i="12" s="1"/>
  <c r="H14" i="10"/>
  <c r="O24" i="11"/>
  <c r="O20" i="6" s="1"/>
  <c r="M24" i="11"/>
  <c r="M20" i="6" s="1"/>
  <c r="I24" i="11"/>
  <c r="I20" i="6" s="1"/>
  <c r="L24" i="11"/>
  <c r="L20" i="6" s="1"/>
  <c r="D7" i="6"/>
  <c r="H20" i="6"/>
  <c r="D10" i="11"/>
  <c r="D22" i="11"/>
  <c r="D24" i="11" s="1"/>
  <c r="D20" i="6" s="1"/>
  <c r="F10" i="11"/>
  <c r="F22" i="11"/>
  <c r="F24" i="11" s="1"/>
  <c r="E10" i="11"/>
  <c r="E22" i="11"/>
  <c r="E24" i="11" s="1"/>
  <c r="G10" i="11"/>
  <c r="G22" i="11"/>
  <c r="G24" i="11" s="1"/>
  <c r="E18" i="6"/>
  <c r="E20" i="3" s="1"/>
  <c r="G18" i="6"/>
  <c r="G20" i="3" s="1"/>
  <c r="F18" i="6"/>
  <c r="F20" i="3" s="1"/>
  <c r="B19" i="15"/>
  <c r="C49" i="6" s="1"/>
  <c r="AH28" i="12"/>
  <c r="B20" i="15"/>
  <c r="P28" i="12"/>
  <c r="E11" i="15"/>
  <c r="F44" i="6" s="1"/>
  <c r="E39" i="15"/>
  <c r="F56" i="6" s="1"/>
  <c r="C11" i="15"/>
  <c r="D44" i="6" s="1"/>
  <c r="C39" i="15"/>
  <c r="D56" i="6" s="1"/>
  <c r="E28" i="12"/>
  <c r="C94" i="21"/>
  <c r="C70" i="22"/>
  <c r="M34" i="22"/>
  <c r="M38" i="22" s="1"/>
  <c r="M61" i="22"/>
  <c r="C72" i="22"/>
  <c r="G72" i="22" s="1"/>
  <c r="H72" i="22" s="1"/>
  <c r="C23" i="22"/>
  <c r="F23" i="22" s="1"/>
  <c r="H23" i="22" s="1"/>
  <c r="K8" i="22"/>
  <c r="K9" i="22" s="1"/>
  <c r="K10" i="22" s="1"/>
  <c r="J89" i="22"/>
  <c r="F88" i="22"/>
  <c r="C106" i="22"/>
  <c r="C129" i="22" s="1"/>
  <c r="F10" i="22"/>
  <c r="C96" i="21"/>
  <c r="G96" i="21" s="1"/>
  <c r="H96" i="21" s="1"/>
  <c r="C93" i="22"/>
  <c r="F93" i="22" s="1"/>
  <c r="G93" i="22" s="1"/>
  <c r="C89" i="22"/>
  <c r="C102" i="22" s="1"/>
  <c r="B36" i="15"/>
  <c r="D36" i="15"/>
  <c r="G25" i="15"/>
  <c r="F25" i="15"/>
  <c r="H25" i="15"/>
  <c r="E25" i="15"/>
  <c r="D25" i="15"/>
  <c r="C25" i="15"/>
  <c r="B25" i="15"/>
  <c r="E36" i="15"/>
  <c r="D28" i="7"/>
  <c r="C28" i="7" s="1"/>
  <c r="M37" i="18"/>
  <c r="C88" i="18"/>
  <c r="J89" i="18" s="1"/>
  <c r="C75" i="18"/>
  <c r="M33" i="18"/>
  <c r="I20" i="3"/>
  <c r="C118" i="21"/>
  <c r="F118" i="21" s="1"/>
  <c r="C113" i="21"/>
  <c r="M97" i="21" s="1"/>
  <c r="C19" i="21"/>
  <c r="B35" i="15"/>
  <c r="N41" i="6"/>
  <c r="N42" i="6" s="1"/>
  <c r="O41" i="6"/>
  <c r="O42" i="6" s="1"/>
  <c r="K7" i="18"/>
  <c r="G115" i="21"/>
  <c r="N76" i="21"/>
  <c r="H11" i="21"/>
  <c r="C63" i="21" s="1"/>
  <c r="F63" i="21" s="1"/>
  <c r="H63" i="21" s="1"/>
  <c r="C69" i="21"/>
  <c r="F69" i="21" s="1"/>
  <c r="H69" i="21" s="1"/>
  <c r="C67" i="21"/>
  <c r="F67" i="21" s="1"/>
  <c r="H67" i="21" s="1"/>
  <c r="C74" i="21"/>
  <c r="F74" i="21" s="1"/>
  <c r="H74" i="21" s="1"/>
  <c r="C70" i="21"/>
  <c r="F70" i="21" s="1"/>
  <c r="H70" i="21" s="1"/>
  <c r="C75" i="21"/>
  <c r="F75" i="21" s="1"/>
  <c r="H75" i="21" s="1"/>
  <c r="H10" i="21"/>
  <c r="C35" i="21" s="1"/>
  <c r="C68" i="21"/>
  <c r="F68" i="21" s="1"/>
  <c r="H68" i="21" s="1"/>
  <c r="C109" i="21"/>
  <c r="F109" i="21" s="1"/>
  <c r="L13" i="19"/>
  <c r="J13" i="19"/>
  <c r="E13" i="19"/>
  <c r="C13" i="19"/>
  <c r="F13" i="19"/>
  <c r="H13" i="19"/>
  <c r="K13" i="19"/>
  <c r="D13" i="19"/>
  <c r="G13" i="19"/>
  <c r="I13" i="19"/>
  <c r="C36" i="15"/>
  <c r="C12" i="19"/>
  <c r="H12" i="19"/>
  <c r="I12" i="19"/>
  <c r="K12" i="19"/>
  <c r="D12" i="19"/>
  <c r="J12" i="19"/>
  <c r="L12" i="19"/>
  <c r="F12" i="19"/>
  <c r="G12" i="19"/>
  <c r="E12" i="19"/>
  <c r="C124" i="21"/>
  <c r="C130" i="21"/>
  <c r="C153" i="21" s="1"/>
  <c r="N87" i="21"/>
  <c r="N88" i="21" s="1"/>
  <c r="C15" i="21"/>
  <c r="F10" i="21" s="1"/>
  <c r="C10" i="18"/>
  <c r="C89" i="18" s="1"/>
  <c r="C15" i="18"/>
  <c r="D115" i="9"/>
  <c r="G5" i="19"/>
  <c r="H5" i="19"/>
  <c r="I5" i="19"/>
  <c r="D5" i="19"/>
  <c r="J5" i="19"/>
  <c r="E5" i="19"/>
  <c r="F5" i="19"/>
  <c r="M90" i="17"/>
  <c r="N76" i="17"/>
  <c r="C5" i="15"/>
  <c r="C34" i="15" s="1"/>
  <c r="C35" i="15" s="1"/>
  <c r="C6" i="15"/>
  <c r="C7" i="15" s="1"/>
  <c r="C30" i="7"/>
  <c r="H8" i="17"/>
  <c r="C10" i="17" s="1"/>
  <c r="C124" i="17" s="1"/>
  <c r="J7" i="17"/>
  <c r="AH3" i="13"/>
  <c r="AH10" i="12"/>
  <c r="AH11" i="12" s="1"/>
  <c r="AE5" i="13"/>
  <c r="AE6" i="13" s="1"/>
  <c r="AE17" i="13"/>
  <c r="AE28" i="12"/>
  <c r="AE25" i="12"/>
  <c r="AE26" i="12" s="1"/>
  <c r="AE27" i="12" s="1"/>
  <c r="W28" i="12"/>
  <c r="W25" i="12"/>
  <c r="W26" i="12" s="1"/>
  <c r="W27" i="12" s="1"/>
  <c r="AF3" i="13"/>
  <c r="AF10" i="12"/>
  <c r="AF11" i="12" s="1"/>
  <c r="AG5" i="13"/>
  <c r="AG6" i="13" s="1"/>
  <c r="AG17" i="13"/>
  <c r="AF25" i="12"/>
  <c r="AF26" i="12" s="1"/>
  <c r="AF27" i="12" s="1"/>
  <c r="AF28" i="12"/>
  <c r="X28" i="12"/>
  <c r="X25" i="12"/>
  <c r="X26" i="12" s="1"/>
  <c r="X27" i="12" s="1"/>
  <c r="AD13" i="13"/>
  <c r="AD16" i="13" s="1"/>
  <c r="N8" i="14"/>
  <c r="Z10" i="12"/>
  <c r="Z11" i="12" s="1"/>
  <c r="Z3" i="13"/>
  <c r="I6" i="13"/>
  <c r="I12" i="13" s="1"/>
  <c r="D17" i="13"/>
  <c r="D38" i="6" s="1"/>
  <c r="D6" i="13"/>
  <c r="Y3" i="13"/>
  <c r="Y10" i="12"/>
  <c r="Y11" i="12" s="1"/>
  <c r="I17" i="13"/>
  <c r="S28" i="12"/>
  <c r="S25" i="12"/>
  <c r="S26" i="12" s="1"/>
  <c r="S27" i="12" s="1"/>
  <c r="I24" i="12"/>
  <c r="I25" i="12" s="1"/>
  <c r="I26" i="12" s="1"/>
  <c r="I27" i="12" s="1"/>
  <c r="E8" i="12"/>
  <c r="E9" i="12" s="1"/>
  <c r="X3" i="13"/>
  <c r="V13" i="13"/>
  <c r="E115" i="9"/>
  <c r="E116" i="9" s="1"/>
  <c r="E117" i="9" s="1"/>
  <c r="C18" i="15"/>
  <c r="C19" i="15" s="1"/>
  <c r="D49" i="6" s="1"/>
  <c r="M19" i="6"/>
  <c r="D8" i="6"/>
  <c r="D116" i="9"/>
  <c r="D117" i="9" s="1"/>
  <c r="M9" i="12"/>
  <c r="L19" i="6"/>
  <c r="I19" i="6"/>
  <c r="L20" i="3"/>
  <c r="D35" i="15"/>
  <c r="D17" i="12"/>
  <c r="C10" i="12"/>
  <c r="C11" i="12" s="1"/>
  <c r="D13" i="12"/>
  <c r="D14" i="12" s="1"/>
  <c r="D19" i="15"/>
  <c r="E49" i="6" s="1"/>
  <c r="Q28" i="12"/>
  <c r="D19" i="6"/>
  <c r="N24" i="12"/>
  <c r="N10" i="12"/>
  <c r="N11" i="12" s="1"/>
  <c r="N3" i="13"/>
  <c r="N5" i="13" s="1"/>
  <c r="N6" i="13" s="1"/>
  <c r="N19" i="12" s="1"/>
  <c r="H25" i="12"/>
  <c r="H26" i="12" s="1"/>
  <c r="H27" i="12" s="1"/>
  <c r="H2" i="15"/>
  <c r="I13" i="10"/>
  <c r="S43" i="12" s="1"/>
  <c r="E18" i="15"/>
  <c r="E5" i="15"/>
  <c r="E34" i="15" s="1"/>
  <c r="E35" i="15" s="1"/>
  <c r="E6" i="15"/>
  <c r="E7" i="15" s="1"/>
  <c r="H3" i="12"/>
  <c r="H4" i="12" s="1"/>
  <c r="H6" i="3"/>
  <c r="F8" i="6"/>
  <c r="F7" i="6"/>
  <c r="Q3" i="12"/>
  <c r="P4" i="12"/>
  <c r="P7" i="12" s="1"/>
  <c r="P8" i="12" s="1"/>
  <c r="P9" i="12" s="1"/>
  <c r="P10" i="12" s="1"/>
  <c r="G6" i="6"/>
  <c r="G4" i="14"/>
  <c r="G5" i="14" s="1"/>
  <c r="G6" i="5"/>
  <c r="G7" i="5" s="1"/>
  <c r="G7" i="3"/>
  <c r="F3" i="15"/>
  <c r="G14" i="10"/>
  <c r="G17" i="10" s="1"/>
  <c r="O16" i="12"/>
  <c r="O17" i="12"/>
  <c r="O13" i="12"/>
  <c r="O14" i="12" s="1"/>
  <c r="O17" i="13"/>
  <c r="O5" i="13"/>
  <c r="O6" i="13" s="1"/>
  <c r="O19" i="12" s="1"/>
  <c r="W3" i="13" l="1"/>
  <c r="W17" i="13" s="1"/>
  <c r="L38" i="6" s="1"/>
  <c r="B55" i="16"/>
  <c r="AG13" i="12"/>
  <c r="AG14" i="12" s="1"/>
  <c r="AG15" i="12" s="1"/>
  <c r="AG16" i="12"/>
  <c r="I17" i="22"/>
  <c r="I18" i="22" s="1"/>
  <c r="K18" i="22" s="1"/>
  <c r="G118" i="21"/>
  <c r="C146" i="21" s="1"/>
  <c r="AE13" i="12"/>
  <c r="AE14" i="12" s="1"/>
  <c r="AE15" i="12" s="1"/>
  <c r="AE17" i="12"/>
  <c r="C19" i="17"/>
  <c r="C133" i="17" s="1"/>
  <c r="E42" i="15"/>
  <c r="E38" i="15" s="1"/>
  <c r="F57" i="6" s="1"/>
  <c r="D42" i="15"/>
  <c r="D38" i="15" s="1"/>
  <c r="B42" i="15"/>
  <c r="F20" i="6"/>
  <c r="F39" i="15"/>
  <c r="G56" i="6" s="1"/>
  <c r="F26" i="15"/>
  <c r="C42" i="15"/>
  <c r="H3" i="15"/>
  <c r="H26" i="15" s="1"/>
  <c r="E20" i="6"/>
  <c r="G20" i="6"/>
  <c r="O15" i="12"/>
  <c r="D15" i="12"/>
  <c r="C13" i="12"/>
  <c r="C14" i="12" s="1"/>
  <c r="C16" i="12"/>
  <c r="C155" i="21"/>
  <c r="E37" i="15"/>
  <c r="G94" i="21"/>
  <c r="H94" i="21" s="1"/>
  <c r="F18" i="15"/>
  <c r="F11" i="15"/>
  <c r="G44" i="6" s="1"/>
  <c r="C134" i="21"/>
  <c r="C156" i="21" s="1"/>
  <c r="N64" i="22"/>
  <c r="N65" i="22" s="1"/>
  <c r="C111" i="22"/>
  <c r="C133" i="22" s="1"/>
  <c r="M39" i="22"/>
  <c r="H102" i="22"/>
  <c r="F89" i="22"/>
  <c r="M44" i="22"/>
  <c r="C86" i="22" s="1"/>
  <c r="F86" i="22" s="1"/>
  <c r="C139" i="22"/>
  <c r="C122" i="22"/>
  <c r="C37" i="15"/>
  <c r="C85" i="22"/>
  <c r="F85" i="22" s="1"/>
  <c r="C87" i="22"/>
  <c r="F87" i="22" s="1"/>
  <c r="J90" i="22"/>
  <c r="C131" i="22"/>
  <c r="C110" i="22"/>
  <c r="C132" i="22" s="1"/>
  <c r="G70" i="22"/>
  <c r="D37" i="15"/>
  <c r="B37" i="15"/>
  <c r="C118" i="17"/>
  <c r="F118" i="17" s="1"/>
  <c r="C18" i="19"/>
  <c r="D18" i="19"/>
  <c r="H18" i="19"/>
  <c r="E18" i="19"/>
  <c r="F18" i="19"/>
  <c r="G18" i="19"/>
  <c r="I18" i="19"/>
  <c r="N64" i="18"/>
  <c r="N65" i="18" s="1"/>
  <c r="M39" i="18"/>
  <c r="O71" i="21"/>
  <c r="L41" i="6"/>
  <c r="L42" i="6" s="1"/>
  <c r="M61" i="18"/>
  <c r="C23" i="18"/>
  <c r="F23" i="18" s="1"/>
  <c r="H23" i="18" s="1"/>
  <c r="M44" i="18"/>
  <c r="F19" i="21"/>
  <c r="H19" i="21" s="1"/>
  <c r="C133" i="21"/>
  <c r="M71" i="21"/>
  <c r="C110" i="21" s="1"/>
  <c r="F110" i="21" s="1"/>
  <c r="C70" i="18"/>
  <c r="G70" i="18" s="1"/>
  <c r="H70" i="18" s="1"/>
  <c r="C72" i="18"/>
  <c r="G72" i="18" s="1"/>
  <c r="H72" i="18" s="1"/>
  <c r="J8" i="19"/>
  <c r="C8" i="19"/>
  <c r="H8" i="19"/>
  <c r="D8" i="19"/>
  <c r="E8" i="19"/>
  <c r="F8" i="19"/>
  <c r="G8" i="19"/>
  <c r="I8" i="19"/>
  <c r="K8" i="18"/>
  <c r="K9" i="18" s="1"/>
  <c r="K10" i="18" s="1"/>
  <c r="I17" i="18" s="1"/>
  <c r="I18" i="18" s="1"/>
  <c r="K18" i="18" s="1"/>
  <c r="C37" i="18" s="1"/>
  <c r="M34" i="18"/>
  <c r="M38" i="18" s="1"/>
  <c r="C93" i="18"/>
  <c r="F93" i="18" s="1"/>
  <c r="G93" i="18" s="1"/>
  <c r="C102" i="18"/>
  <c r="C100" i="18"/>
  <c r="E23" i="17"/>
  <c r="F23" i="17" s="1"/>
  <c r="C126" i="21"/>
  <c r="C127" i="21" s="1"/>
  <c r="F7" i="21" s="1"/>
  <c r="C135" i="21"/>
  <c r="C157" i="21" s="1"/>
  <c r="D126" i="21"/>
  <c r="F113" i="21"/>
  <c r="C12" i="21"/>
  <c r="C163" i="21"/>
  <c r="E23" i="21"/>
  <c r="F23" i="21" s="1"/>
  <c r="H23" i="21" s="1"/>
  <c r="H6" i="19"/>
  <c r="I6" i="19"/>
  <c r="J6" i="19"/>
  <c r="G6" i="19"/>
  <c r="D6" i="19"/>
  <c r="F6" i="19"/>
  <c r="E6" i="19"/>
  <c r="F36" i="15"/>
  <c r="C36" i="21"/>
  <c r="F36" i="21" s="1"/>
  <c r="H36" i="21" s="1"/>
  <c r="C37" i="21"/>
  <c r="C34" i="21" s="1"/>
  <c r="F10" i="18"/>
  <c r="C106" i="18"/>
  <c r="C129" i="18" s="1"/>
  <c r="E118" i="9"/>
  <c r="D118" i="9"/>
  <c r="D123" i="9" s="1"/>
  <c r="M91" i="17"/>
  <c r="M96" i="17" s="1"/>
  <c r="E22" i="17"/>
  <c r="F22" i="17" s="1"/>
  <c r="I9" i="17"/>
  <c r="H9" i="17"/>
  <c r="E8" i="14"/>
  <c r="D8" i="14"/>
  <c r="C94" i="17"/>
  <c r="G94" i="17" s="1"/>
  <c r="C96" i="17"/>
  <c r="G96" i="17" s="1"/>
  <c r="H96" i="17" s="1"/>
  <c r="N87" i="17"/>
  <c r="N88" i="17" s="1"/>
  <c r="F115" i="17"/>
  <c r="I14" i="10"/>
  <c r="I17" i="10" s="1"/>
  <c r="AG12" i="13"/>
  <c r="AG13" i="13" s="1"/>
  <c r="AG16" i="13" s="1"/>
  <c r="AF16" i="12"/>
  <c r="AF13" i="12"/>
  <c r="AF14" i="12" s="1"/>
  <c r="AF17" i="12"/>
  <c r="AF5" i="13"/>
  <c r="AF17" i="13"/>
  <c r="AE19" i="12"/>
  <c r="AE18" i="13"/>
  <c r="AG19" i="12"/>
  <c r="AG18" i="13"/>
  <c r="AH16" i="12"/>
  <c r="AH13" i="12"/>
  <c r="AH14" i="12" s="1"/>
  <c r="AH17" i="12"/>
  <c r="AE12" i="13"/>
  <c r="AH5" i="13"/>
  <c r="AH17" i="13"/>
  <c r="N31" i="12"/>
  <c r="V16" i="13"/>
  <c r="K37" i="6" s="1"/>
  <c r="D12" i="13"/>
  <c r="D13" i="13" s="1"/>
  <c r="C6" i="13"/>
  <c r="C12" i="13" s="1"/>
  <c r="C13" i="13" s="1"/>
  <c r="Y13" i="12"/>
  <c r="Y14" i="12" s="1"/>
  <c r="Y15" i="12" s="1"/>
  <c r="Y17" i="12"/>
  <c r="Y16" i="12"/>
  <c r="Y17" i="13"/>
  <c r="N38" i="6" s="1"/>
  <c r="Y5" i="13"/>
  <c r="Z17" i="13"/>
  <c r="O38" i="6" s="1"/>
  <c r="Z5" i="13"/>
  <c r="Z17" i="12"/>
  <c r="Z16" i="12"/>
  <c r="Z13" i="12"/>
  <c r="Z14" i="12" s="1"/>
  <c r="I28" i="12"/>
  <c r="E3" i="13"/>
  <c r="E10" i="12"/>
  <c r="E11" i="12" s="1"/>
  <c r="E16" i="12" s="1"/>
  <c r="M7" i="13"/>
  <c r="X16" i="12"/>
  <c r="X17" i="12"/>
  <c r="W13" i="12"/>
  <c r="W14" i="12" s="1"/>
  <c r="W16" i="12"/>
  <c r="W17" i="12"/>
  <c r="X17" i="13"/>
  <c r="M38" i="6" s="1"/>
  <c r="X5" i="13"/>
  <c r="C20" i="15"/>
  <c r="F9" i="12"/>
  <c r="F10" i="12" s="1"/>
  <c r="F11" i="12" s="1"/>
  <c r="N13" i="12"/>
  <c r="N14" i="12" s="1"/>
  <c r="C17" i="12"/>
  <c r="N25" i="12"/>
  <c r="N28" i="12"/>
  <c r="D25" i="12"/>
  <c r="D26" i="12" s="1"/>
  <c r="D27" i="12" s="1"/>
  <c r="N18" i="13"/>
  <c r="N17" i="12"/>
  <c r="N16" i="12"/>
  <c r="N17" i="13"/>
  <c r="M10" i="12"/>
  <c r="M11" i="12" s="1"/>
  <c r="M3" i="13"/>
  <c r="P11" i="12"/>
  <c r="P3" i="13"/>
  <c r="R3" i="12"/>
  <c r="F6" i="15"/>
  <c r="F7" i="15" s="1"/>
  <c r="F5" i="15"/>
  <c r="F34" i="15" s="1"/>
  <c r="F35" i="15" s="1"/>
  <c r="G7" i="6"/>
  <c r="G8" i="6"/>
  <c r="G7" i="12"/>
  <c r="G8" i="12" s="1"/>
  <c r="Q4" i="12"/>
  <c r="Q7" i="12" s="1"/>
  <c r="Q8" i="12" s="1"/>
  <c r="Q9" i="12" s="1"/>
  <c r="Q10" i="12" s="1"/>
  <c r="E20" i="15"/>
  <c r="E19" i="15"/>
  <c r="F49" i="6" s="1"/>
  <c r="I6" i="3"/>
  <c r="H6" i="5"/>
  <c r="H7" i="5" s="1"/>
  <c r="H4" i="14"/>
  <c r="H5" i="14" s="1"/>
  <c r="H7" i="3"/>
  <c r="H17" i="10"/>
  <c r="G3" i="15"/>
  <c r="G26" i="15" s="1"/>
  <c r="H6" i="6"/>
  <c r="O18" i="13"/>
  <c r="D19" i="12"/>
  <c r="D18" i="13"/>
  <c r="N23" i="12"/>
  <c r="W5" i="13" l="1"/>
  <c r="W6" i="13" s="1"/>
  <c r="C33" i="6"/>
  <c r="B69" i="16"/>
  <c r="C39" i="22"/>
  <c r="F39" i="22" s="1"/>
  <c r="H39" i="22" s="1"/>
  <c r="C37" i="22"/>
  <c r="C38" i="22"/>
  <c r="F38" i="22" s="1"/>
  <c r="H38" i="22" s="1"/>
  <c r="C122" i="18"/>
  <c r="F19" i="17"/>
  <c r="H19" i="17" s="1"/>
  <c r="G97" i="17"/>
  <c r="E57" i="6"/>
  <c r="E15" i="5" s="1"/>
  <c r="G97" i="21"/>
  <c r="H97" i="21" s="1"/>
  <c r="H36" i="15"/>
  <c r="H11" i="15"/>
  <c r="I44" i="6" s="1"/>
  <c r="D12" i="4" s="1"/>
  <c r="H39" i="15"/>
  <c r="I56" i="6" s="1"/>
  <c r="F42" i="15"/>
  <c r="B43" i="15"/>
  <c r="B38" i="15"/>
  <c r="B56" i="16"/>
  <c r="W15" i="12"/>
  <c r="Z15" i="12"/>
  <c r="AH15" i="12"/>
  <c r="AF15" i="12"/>
  <c r="N15" i="12"/>
  <c r="C15" i="12"/>
  <c r="G95" i="21"/>
  <c r="H95" i="21" s="1"/>
  <c r="G11" i="15"/>
  <c r="H44" i="6" s="1"/>
  <c r="G39" i="15"/>
  <c r="H56" i="6" s="1"/>
  <c r="D23" i="12"/>
  <c r="D18" i="12" s="1"/>
  <c r="D34" i="12" s="1"/>
  <c r="F37" i="15"/>
  <c r="E26" i="22"/>
  <c r="F26" i="22" s="1"/>
  <c r="H26" i="22" s="1"/>
  <c r="C86" i="18"/>
  <c r="F86" i="18" s="1"/>
  <c r="F91" i="22"/>
  <c r="H70" i="22"/>
  <c r="G73" i="22"/>
  <c r="H73" i="22" s="1"/>
  <c r="G71" i="22"/>
  <c r="H71" i="22" s="1"/>
  <c r="C103" i="22"/>
  <c r="F7" i="22" s="1"/>
  <c r="C140" i="22"/>
  <c r="C141" i="22" s="1"/>
  <c r="D102" i="22"/>
  <c r="D124" i="9"/>
  <c r="B13" i="15"/>
  <c r="B22" i="15" s="1"/>
  <c r="B29" i="15" s="1"/>
  <c r="E13" i="15"/>
  <c r="E12" i="15" s="1"/>
  <c r="E31" i="15" s="1"/>
  <c r="F47" i="6" s="1"/>
  <c r="C13" i="15"/>
  <c r="F116" i="21"/>
  <c r="G116" i="21" s="1"/>
  <c r="E20" i="19"/>
  <c r="H20" i="19"/>
  <c r="F20" i="19"/>
  <c r="G20" i="19"/>
  <c r="C20" i="19"/>
  <c r="D20" i="19"/>
  <c r="I20" i="19"/>
  <c r="E22" i="21"/>
  <c r="F22" i="21" s="1"/>
  <c r="E24" i="21"/>
  <c r="F24" i="21" s="1"/>
  <c r="H24" i="21" s="1"/>
  <c r="C87" i="18"/>
  <c r="F87" i="18" s="1"/>
  <c r="C85" i="18"/>
  <c r="F85" i="18" s="1"/>
  <c r="C131" i="18"/>
  <c r="C110" i="18"/>
  <c r="C132" i="18" s="1"/>
  <c r="G73" i="18"/>
  <c r="H73" i="18" s="1"/>
  <c r="C38" i="18"/>
  <c r="G71" i="18"/>
  <c r="H71" i="18" s="1"/>
  <c r="C39" i="18"/>
  <c r="F39" i="18" s="1"/>
  <c r="H39" i="18" s="1"/>
  <c r="E26" i="18"/>
  <c r="F26" i="18" s="1"/>
  <c r="C103" i="18"/>
  <c r="H102" i="18"/>
  <c r="H37" i="18"/>
  <c r="F34" i="21"/>
  <c r="H34" i="21" s="1"/>
  <c r="D41" i="6"/>
  <c r="D42" i="6" s="1"/>
  <c r="C38" i="21"/>
  <c r="F38" i="21" s="1"/>
  <c r="H38" i="21" s="1"/>
  <c r="C39" i="21"/>
  <c r="F39" i="21" s="1"/>
  <c r="H39" i="21" s="1"/>
  <c r="E41" i="6"/>
  <c r="E42" i="6" s="1"/>
  <c r="D127" i="21"/>
  <c r="C149" i="21"/>
  <c r="G36" i="15"/>
  <c r="E126" i="21"/>
  <c r="C164" i="21"/>
  <c r="C165" i="21" s="1"/>
  <c r="E127" i="21"/>
  <c r="F88" i="18"/>
  <c r="J90" i="18" s="1"/>
  <c r="C111" i="18"/>
  <c r="C133" i="18" s="1"/>
  <c r="C140" i="18"/>
  <c r="F89" i="18"/>
  <c r="C59" i="6"/>
  <c r="E127" i="9"/>
  <c r="E122" i="9"/>
  <c r="E123" i="9" s="1"/>
  <c r="C15" i="17"/>
  <c r="F10" i="17" s="1"/>
  <c r="C113" i="17"/>
  <c r="C126" i="17" s="1"/>
  <c r="C127" i="17" s="1"/>
  <c r="F8" i="14"/>
  <c r="C8" i="14"/>
  <c r="C41" i="6" s="1"/>
  <c r="C155" i="17"/>
  <c r="C134" i="17"/>
  <c r="C156" i="17" s="1"/>
  <c r="H22" i="17"/>
  <c r="H11" i="17"/>
  <c r="C109" i="17" s="1"/>
  <c r="H10" i="17"/>
  <c r="C35" i="17" s="1"/>
  <c r="C37" i="17" s="1"/>
  <c r="C34" i="17" s="1"/>
  <c r="AE22" i="13"/>
  <c r="AH22" i="13"/>
  <c r="AH6" i="13"/>
  <c r="AH12" i="13" s="1"/>
  <c r="AH13" i="13" s="1"/>
  <c r="AH16" i="13" s="1"/>
  <c r="AG31" i="12"/>
  <c r="AG20" i="12"/>
  <c r="AG21" i="12" s="1"/>
  <c r="AG23" i="12"/>
  <c r="AG18" i="12" s="1"/>
  <c r="AG34" i="12" s="1"/>
  <c r="AF22" i="13"/>
  <c r="AF6" i="13"/>
  <c r="AF12" i="13" s="1"/>
  <c r="AF13" i="13" s="1"/>
  <c r="AF16" i="13" s="1"/>
  <c r="AE13" i="13"/>
  <c r="AE16" i="13" s="1"/>
  <c r="AE31" i="12"/>
  <c r="AE20" i="12"/>
  <c r="AE21" i="12" s="1"/>
  <c r="AE23" i="12"/>
  <c r="AE18" i="12" s="1"/>
  <c r="AE34" i="12" s="1"/>
  <c r="AG22" i="13"/>
  <c r="C139" i="18"/>
  <c r="H23" i="17"/>
  <c r="C130" i="17"/>
  <c r="C153" i="17" s="1"/>
  <c r="G115" i="17"/>
  <c r="G118" i="17"/>
  <c r="C75" i="17"/>
  <c r="F75" i="17" s="1"/>
  <c r="H75" i="17" s="1"/>
  <c r="C70" i="17"/>
  <c r="F70" i="17" s="1"/>
  <c r="H70" i="17" s="1"/>
  <c r="C67" i="17"/>
  <c r="F67" i="17" s="1"/>
  <c r="H67" i="17" s="1"/>
  <c r="C74" i="17"/>
  <c r="F74" i="17" s="1"/>
  <c r="H74" i="17" s="1"/>
  <c r="C69" i="17"/>
  <c r="F69" i="17" s="1"/>
  <c r="H69" i="17" s="1"/>
  <c r="C68" i="17"/>
  <c r="F68" i="17" s="1"/>
  <c r="H68" i="17" s="1"/>
  <c r="AD21" i="13"/>
  <c r="K66" i="6" s="1"/>
  <c r="K63" i="6" s="1"/>
  <c r="K14" i="6"/>
  <c r="K10" i="3" s="1"/>
  <c r="K10" i="6"/>
  <c r="K13" i="6" s="1"/>
  <c r="K54" i="6" s="1"/>
  <c r="G8" i="14"/>
  <c r="Z6" i="13"/>
  <c r="Z12" i="13" s="1"/>
  <c r="Z13" i="13" s="1"/>
  <c r="Z16" i="13" s="1"/>
  <c r="E17" i="13"/>
  <c r="E38" i="6" s="1"/>
  <c r="E5" i="13"/>
  <c r="Y6" i="13"/>
  <c r="Y12" i="13" s="1"/>
  <c r="Y13" i="13" s="1"/>
  <c r="Y16" i="13" s="1"/>
  <c r="E17" i="12"/>
  <c r="E13" i="12"/>
  <c r="E14" i="12" s="1"/>
  <c r="X6" i="13"/>
  <c r="F3" i="13"/>
  <c r="E10" i="5"/>
  <c r="C10" i="5"/>
  <c r="E59" i="6"/>
  <c r="D43" i="15"/>
  <c r="E58" i="6" s="1"/>
  <c r="E16" i="5" s="1"/>
  <c r="N18" i="12"/>
  <c r="N34" i="12" s="1"/>
  <c r="G9" i="12"/>
  <c r="G10" i="12" s="1"/>
  <c r="G11" i="12" s="1"/>
  <c r="N26" i="12"/>
  <c r="N27" i="12" s="1"/>
  <c r="M17" i="12"/>
  <c r="M16" i="12"/>
  <c r="M5" i="13"/>
  <c r="M6" i="13" s="1"/>
  <c r="M19" i="12" s="1"/>
  <c r="M17" i="13"/>
  <c r="N22" i="13"/>
  <c r="N12" i="13"/>
  <c r="N13" i="13" s="1"/>
  <c r="N16" i="13" s="1"/>
  <c r="M13" i="12"/>
  <c r="F15" i="5"/>
  <c r="F17" i="12"/>
  <c r="F13" i="12"/>
  <c r="F14" i="12" s="1"/>
  <c r="F16" i="12"/>
  <c r="Q3" i="13"/>
  <c r="Q11" i="12"/>
  <c r="P17" i="12"/>
  <c r="P13" i="12"/>
  <c r="P14" i="12" s="1"/>
  <c r="P16" i="12"/>
  <c r="F20" i="15"/>
  <c r="F19" i="15"/>
  <c r="G49" i="6" s="1"/>
  <c r="R4" i="12"/>
  <c r="R7" i="12" s="1"/>
  <c r="R8" i="12" s="1"/>
  <c r="R9" i="12" s="1"/>
  <c r="R10" i="12" s="1"/>
  <c r="H7" i="12"/>
  <c r="H8" i="12" s="1"/>
  <c r="H8" i="6"/>
  <c r="H7" i="6"/>
  <c r="S3" i="12"/>
  <c r="G6" i="15"/>
  <c r="G7" i="15" s="1"/>
  <c r="G5" i="15"/>
  <c r="G34" i="15" s="1"/>
  <c r="G35" i="15" s="1"/>
  <c r="G18" i="15"/>
  <c r="I7" i="3"/>
  <c r="I6" i="5"/>
  <c r="I7" i="5" s="1"/>
  <c r="I4" i="14"/>
  <c r="I5" i="14" s="1"/>
  <c r="I6" i="6"/>
  <c r="P5" i="13"/>
  <c r="P6" i="13" s="1"/>
  <c r="P19" i="12" s="1"/>
  <c r="P17" i="13"/>
  <c r="E43" i="15"/>
  <c r="F58" i="6" s="1"/>
  <c r="F16" i="5" s="1"/>
  <c r="F59" i="6"/>
  <c r="O12" i="13"/>
  <c r="D39" i="6"/>
  <c r="D17" i="3" s="1"/>
  <c r="N23" i="13"/>
  <c r="C38" i="6"/>
  <c r="D20" i="12"/>
  <c r="D31" i="12"/>
  <c r="N38" i="12" s="1"/>
  <c r="D16" i="13"/>
  <c r="D37" i="6" s="1"/>
  <c r="N20" i="12"/>
  <c r="N21" i="12" s="1"/>
  <c r="N22" i="12" s="1"/>
  <c r="C36" i="22" l="1"/>
  <c r="C34" i="22" s="1"/>
  <c r="I19" i="22" s="1"/>
  <c r="C35" i="22" s="1"/>
  <c r="C57" i="6"/>
  <c r="C15" i="5" s="1"/>
  <c r="O71" i="17"/>
  <c r="M71" i="17"/>
  <c r="C110" i="17" s="1"/>
  <c r="F110" i="17" s="1"/>
  <c r="N41" i="12"/>
  <c r="E99" i="21"/>
  <c r="F99" i="21" s="1"/>
  <c r="G99" i="21" s="1"/>
  <c r="G42" i="15"/>
  <c r="G38" i="15" s="1"/>
  <c r="H57" i="6" s="1"/>
  <c r="D59" i="6"/>
  <c r="D17" i="5" s="1"/>
  <c r="C38" i="15"/>
  <c r="F43" i="15"/>
  <c r="G58" i="6" s="1"/>
  <c r="G16" i="5" s="1"/>
  <c r="F38" i="15"/>
  <c r="C6" i="4"/>
  <c r="B57" i="16"/>
  <c r="AE22" i="12"/>
  <c r="AE33" i="12"/>
  <c r="AG22" i="12"/>
  <c r="AG33" i="12"/>
  <c r="N33" i="12"/>
  <c r="N35" i="12" s="1"/>
  <c r="N32" i="12"/>
  <c r="P15" i="12"/>
  <c r="M14" i="12"/>
  <c r="F15" i="12"/>
  <c r="E15" i="12"/>
  <c r="M31" i="12"/>
  <c r="M23" i="12"/>
  <c r="F29" i="21"/>
  <c r="C139" i="21" s="1"/>
  <c r="D139" i="21" s="1"/>
  <c r="C144" i="21"/>
  <c r="E75" i="22"/>
  <c r="F75" i="22" s="1"/>
  <c r="F76" i="22" s="1"/>
  <c r="G91" i="22"/>
  <c r="C120" i="22"/>
  <c r="E27" i="18"/>
  <c r="F27" i="18" s="1"/>
  <c r="H27" i="18" s="1"/>
  <c r="E27" i="22"/>
  <c r="F27" i="22" s="1"/>
  <c r="C125" i="22"/>
  <c r="B30" i="15"/>
  <c r="B12" i="15"/>
  <c r="B31" i="15" s="1"/>
  <c r="E124" i="9"/>
  <c r="G13" i="15"/>
  <c r="G12" i="15" s="1"/>
  <c r="G31" i="15" s="1"/>
  <c r="H47" i="6" s="1"/>
  <c r="G37" i="15"/>
  <c r="M97" i="17"/>
  <c r="F38" i="18"/>
  <c r="H38" i="18" s="1"/>
  <c r="C36" i="18"/>
  <c r="E75" i="18"/>
  <c r="F75" i="18" s="1"/>
  <c r="F76" i="18" s="1"/>
  <c r="H26" i="18"/>
  <c r="C32" i="21"/>
  <c r="F32" i="21" s="1"/>
  <c r="H22" i="21"/>
  <c r="H29" i="21" s="1"/>
  <c r="E102" i="21" s="1"/>
  <c r="F102" i="21" s="1"/>
  <c r="F91" i="18"/>
  <c r="F41" i="6"/>
  <c r="F42" i="6" s="1"/>
  <c r="C43" i="15"/>
  <c r="D58" i="6" s="1"/>
  <c r="D16" i="5" s="1"/>
  <c r="C58" i="6"/>
  <c r="C16" i="5" s="1"/>
  <c r="G41" i="6"/>
  <c r="G42" i="6" s="1"/>
  <c r="E17" i="5"/>
  <c r="C17" i="5"/>
  <c r="C42" i="6"/>
  <c r="F7" i="18"/>
  <c r="D102" i="18"/>
  <c r="F9" i="5"/>
  <c r="C9" i="5"/>
  <c r="C12" i="15"/>
  <c r="C31" i="15" s="1"/>
  <c r="D47" i="6" s="1"/>
  <c r="D126" i="17"/>
  <c r="F7" i="17"/>
  <c r="F113" i="17"/>
  <c r="H94" i="17"/>
  <c r="H97" i="17"/>
  <c r="G95" i="17"/>
  <c r="C63" i="17"/>
  <c r="F63" i="17" s="1"/>
  <c r="H63" i="17" s="1"/>
  <c r="C36" i="17"/>
  <c r="F36" i="17" s="1"/>
  <c r="H36" i="17" s="1"/>
  <c r="C39" i="17"/>
  <c r="C32" i="17" s="1"/>
  <c r="H12" i="17" s="1"/>
  <c r="C38" i="17"/>
  <c r="F109" i="17"/>
  <c r="AH19" i="12"/>
  <c r="AH18" i="13"/>
  <c r="AF19" i="12"/>
  <c r="AF18" i="13"/>
  <c r="C141" i="18"/>
  <c r="C135" i="17"/>
  <c r="C157" i="17" s="1"/>
  <c r="C163" i="17"/>
  <c r="C12" i="17"/>
  <c r="C146" i="17"/>
  <c r="O37" i="6"/>
  <c r="AH21" i="13"/>
  <c r="O66" i="6" s="1"/>
  <c r="N37" i="6"/>
  <c r="AG21" i="13"/>
  <c r="N66" i="6" s="1"/>
  <c r="K12" i="6"/>
  <c r="K9" i="3"/>
  <c r="K12" i="3" s="1"/>
  <c r="K11" i="6"/>
  <c r="K53" i="6" s="1"/>
  <c r="O22" i="13"/>
  <c r="D23" i="6"/>
  <c r="D16" i="3" s="1"/>
  <c r="H8" i="14"/>
  <c r="E6" i="13"/>
  <c r="E12" i="13" s="1"/>
  <c r="E13" i="13" s="1"/>
  <c r="E16" i="13" s="1"/>
  <c r="E37" i="6" s="1"/>
  <c r="F17" i="13"/>
  <c r="F38" i="6" s="1"/>
  <c r="F5" i="13"/>
  <c r="Y18" i="13"/>
  <c r="Y19" i="12"/>
  <c r="Y31" i="12" s="1"/>
  <c r="Z18" i="13"/>
  <c r="O39" i="6" s="1"/>
  <c r="O17" i="3" s="1"/>
  <c r="Z19" i="12"/>
  <c r="O23" i="12"/>
  <c r="O18" i="12" s="1"/>
  <c r="C18" i="13"/>
  <c r="C39" i="6" s="1"/>
  <c r="C17" i="3" s="1"/>
  <c r="C16" i="13"/>
  <c r="C37" i="6" s="1"/>
  <c r="W18" i="13"/>
  <c r="W19" i="12"/>
  <c r="X18" i="13"/>
  <c r="M39" i="6" s="1"/>
  <c r="X19" i="12"/>
  <c r="X31" i="12" s="1"/>
  <c r="C19" i="12"/>
  <c r="C20" i="12" s="1"/>
  <c r="C32" i="12" s="1"/>
  <c r="M20" i="12"/>
  <c r="M21" i="12" s="1"/>
  <c r="M22" i="12" s="1"/>
  <c r="O13" i="13"/>
  <c r="O16" i="13" s="1"/>
  <c r="X12" i="13"/>
  <c r="X13" i="13" s="1"/>
  <c r="X16" i="13" s="1"/>
  <c r="W12" i="13"/>
  <c r="W13" i="13" s="1"/>
  <c r="W16" i="13" s="1"/>
  <c r="D10" i="5"/>
  <c r="G3" i="13"/>
  <c r="H18" i="15"/>
  <c r="O31" i="12"/>
  <c r="H9" i="12"/>
  <c r="H10" i="12" s="1"/>
  <c r="H11" i="12" s="1"/>
  <c r="H16" i="12" s="1"/>
  <c r="D21" i="12"/>
  <c r="M22" i="13"/>
  <c r="M18" i="13"/>
  <c r="H6" i="15"/>
  <c r="H7" i="15" s="1"/>
  <c r="H5" i="15"/>
  <c r="H34" i="15" s="1"/>
  <c r="H35" i="15" s="1"/>
  <c r="H42" i="15" s="1"/>
  <c r="F10" i="5"/>
  <c r="G59" i="6"/>
  <c r="Q5" i="13"/>
  <c r="Q6" i="13" s="1"/>
  <c r="Q19" i="12" s="1"/>
  <c r="Q17" i="13"/>
  <c r="G20" i="15"/>
  <c r="G19" i="15"/>
  <c r="H49" i="6" s="1"/>
  <c r="R11" i="12"/>
  <c r="R3" i="13"/>
  <c r="P18" i="13"/>
  <c r="I7" i="6"/>
  <c r="I8" i="6"/>
  <c r="G13" i="12"/>
  <c r="G14" i="12" s="1"/>
  <c r="G16" i="12"/>
  <c r="G17" i="12"/>
  <c r="F17" i="5"/>
  <c r="I11" i="12"/>
  <c r="I13" i="12" s="1"/>
  <c r="I14" i="12" s="1"/>
  <c r="S4" i="12"/>
  <c r="Q16" i="12"/>
  <c r="Q13" i="12"/>
  <c r="Q14" i="12" s="1"/>
  <c r="Q17" i="12"/>
  <c r="N21" i="13"/>
  <c r="D66" i="6" s="1"/>
  <c r="F36" i="22" l="1"/>
  <c r="H36" i="22" s="1"/>
  <c r="C57" i="22"/>
  <c r="C53" i="22"/>
  <c r="F53" i="22" s="1"/>
  <c r="H53" i="22" s="1"/>
  <c r="I36" i="22"/>
  <c r="C108" i="22" s="1"/>
  <c r="W31" i="12"/>
  <c r="AE38" i="12" s="1"/>
  <c r="L12" i="4"/>
  <c r="E12" i="4" s="1"/>
  <c r="M12" i="4"/>
  <c r="F12" i="4" s="1"/>
  <c r="G57" i="6"/>
  <c r="G15" i="5" s="1"/>
  <c r="D57" i="6"/>
  <c r="D15" i="5" s="1"/>
  <c r="H95" i="17"/>
  <c r="E99" i="17"/>
  <c r="F99" i="17" s="1"/>
  <c r="F100" i="17" s="1"/>
  <c r="F100" i="21"/>
  <c r="C47" i="6"/>
  <c r="H37" i="15"/>
  <c r="AG35" i="12"/>
  <c r="AE35" i="12"/>
  <c r="B58" i="16"/>
  <c r="AG32" i="12"/>
  <c r="AE32" i="12"/>
  <c r="M32" i="12"/>
  <c r="M39" i="12" s="1"/>
  <c r="M33" i="12"/>
  <c r="Q15" i="12"/>
  <c r="O34" i="12"/>
  <c r="M15" i="12"/>
  <c r="G15" i="12"/>
  <c r="D22" i="12"/>
  <c r="D33" i="12"/>
  <c r="I15" i="12"/>
  <c r="C21" i="12"/>
  <c r="C33" i="12" s="1"/>
  <c r="C25" i="6"/>
  <c r="C15" i="6" s="1"/>
  <c r="C13" i="3" s="1"/>
  <c r="H19" i="15"/>
  <c r="F31" i="18"/>
  <c r="H31" i="18"/>
  <c r="F116" i="17"/>
  <c r="G116" i="17" s="1"/>
  <c r="B14" i="15"/>
  <c r="B23" i="15" s="1"/>
  <c r="H27" i="22"/>
  <c r="H31" i="22" s="1"/>
  <c r="F31" i="22"/>
  <c r="F34" i="22"/>
  <c r="C118" i="22"/>
  <c r="G76" i="22"/>
  <c r="G76" i="18"/>
  <c r="F13" i="15"/>
  <c r="F12" i="15" s="1"/>
  <c r="H13" i="15"/>
  <c r="D13" i="15"/>
  <c r="D12" i="15" s="1"/>
  <c r="D31" i="15" s="1"/>
  <c r="E47" i="6" s="1"/>
  <c r="C17" i="19"/>
  <c r="I17" i="19"/>
  <c r="D17" i="19"/>
  <c r="F17" i="19"/>
  <c r="G17" i="19"/>
  <c r="H17" i="19"/>
  <c r="E17" i="19"/>
  <c r="C118" i="18"/>
  <c r="C34" i="18"/>
  <c r="I36" i="18"/>
  <c r="C108" i="18" s="1"/>
  <c r="F36" i="18"/>
  <c r="H36" i="18" s="1"/>
  <c r="C59" i="21"/>
  <c r="F59" i="21" s="1"/>
  <c r="H59" i="21" s="1"/>
  <c r="C46" i="21"/>
  <c r="F46" i="21" s="1"/>
  <c r="H46" i="21" s="1"/>
  <c r="H12" i="21"/>
  <c r="C33" i="21" s="1"/>
  <c r="F33" i="21" s="1"/>
  <c r="H33" i="21" s="1"/>
  <c r="E140" i="21"/>
  <c r="C160" i="21"/>
  <c r="G91" i="18"/>
  <c r="C120" i="18"/>
  <c r="C125" i="18"/>
  <c r="H41" i="6"/>
  <c r="H42" i="6" s="1"/>
  <c r="E126" i="17"/>
  <c r="G17" i="5"/>
  <c r="H32" i="21"/>
  <c r="E127" i="17"/>
  <c r="D9" i="5"/>
  <c r="C46" i="17"/>
  <c r="C47" i="17" s="1"/>
  <c r="AF23" i="13"/>
  <c r="AF31" i="12"/>
  <c r="AF38" i="12" s="1"/>
  <c r="AF20" i="12"/>
  <c r="AF21" i="12" s="1"/>
  <c r="AF23" i="12"/>
  <c r="AF18" i="12" s="1"/>
  <c r="AF34" i="12" s="1"/>
  <c r="L39" i="6"/>
  <c r="L17" i="3" s="1"/>
  <c r="AE23" i="13"/>
  <c r="N39" i="6"/>
  <c r="N17" i="3" s="1"/>
  <c r="AG23" i="13"/>
  <c r="AH23" i="13"/>
  <c r="AH23" i="12"/>
  <c r="AH18" i="12" s="1"/>
  <c r="AH34" i="12" s="1"/>
  <c r="AH20" i="12"/>
  <c r="AH21" i="12" s="1"/>
  <c r="AH31" i="12"/>
  <c r="F38" i="17"/>
  <c r="H38" i="17" s="1"/>
  <c r="F39" i="17"/>
  <c r="H39" i="17" s="1"/>
  <c r="C164" i="17"/>
  <c r="C165" i="17" s="1"/>
  <c r="K11" i="3"/>
  <c r="M37" i="6"/>
  <c r="AF21" i="13"/>
  <c r="M66" i="6" s="1"/>
  <c r="L37" i="6"/>
  <c r="AE21" i="13"/>
  <c r="L66" i="6" s="1"/>
  <c r="E18" i="13"/>
  <c r="E39" i="6" s="1"/>
  <c r="E17" i="3" s="1"/>
  <c r="Y23" i="12"/>
  <c r="Y18" i="12" s="1"/>
  <c r="Y20" i="12"/>
  <c r="Y21" i="12" s="1"/>
  <c r="F6" i="13"/>
  <c r="F12" i="13" s="1"/>
  <c r="F13" i="13" s="1"/>
  <c r="F16" i="13" s="1"/>
  <c r="F37" i="6" s="1"/>
  <c r="G17" i="13"/>
  <c r="G38" i="6" s="1"/>
  <c r="G5" i="13"/>
  <c r="Z23" i="12"/>
  <c r="Z18" i="12" s="1"/>
  <c r="Z20" i="12"/>
  <c r="Z21" i="12" s="1"/>
  <c r="Z31" i="12"/>
  <c r="O21" i="13"/>
  <c r="E66" i="6" s="1"/>
  <c r="O20" i="12"/>
  <c r="O21" i="12" s="1"/>
  <c r="E19" i="12"/>
  <c r="E23" i="12" s="1"/>
  <c r="E18" i="12" s="1"/>
  <c r="E34" i="12" s="1"/>
  <c r="C23" i="12"/>
  <c r="C18" i="12" s="1"/>
  <c r="P22" i="13"/>
  <c r="M18" i="12"/>
  <c r="M34" i="12" s="1"/>
  <c r="W20" i="12"/>
  <c r="W21" i="12" s="1"/>
  <c r="W23" i="12"/>
  <c r="W18" i="12" s="1"/>
  <c r="X23" i="12"/>
  <c r="X18" i="12" s="1"/>
  <c r="X20" i="12"/>
  <c r="X21" i="12" s="1"/>
  <c r="M23" i="6"/>
  <c r="M16" i="3" s="1"/>
  <c r="C31" i="12"/>
  <c r="C23" i="6" s="1"/>
  <c r="C16" i="3" s="1"/>
  <c r="H3" i="13"/>
  <c r="S7" i="12"/>
  <c r="S8" i="12" s="1"/>
  <c r="S9" i="12" s="1"/>
  <c r="I17" i="12"/>
  <c r="M23" i="13"/>
  <c r="M17" i="3"/>
  <c r="M12" i="13"/>
  <c r="M13" i="13" s="1"/>
  <c r="M16" i="13" s="1"/>
  <c r="M21" i="13" s="1"/>
  <c r="C66" i="6" s="1"/>
  <c r="P12" i="13"/>
  <c r="P13" i="13" s="1"/>
  <c r="P16" i="13" s="1"/>
  <c r="R13" i="12"/>
  <c r="R14" i="12" s="1"/>
  <c r="R17" i="12"/>
  <c r="R16" i="12"/>
  <c r="H20" i="15"/>
  <c r="Q18" i="13"/>
  <c r="H59" i="6"/>
  <c r="G43" i="15"/>
  <c r="H58" i="6" s="1"/>
  <c r="G10" i="5"/>
  <c r="R17" i="13"/>
  <c r="R5" i="13"/>
  <c r="R6" i="13" s="1"/>
  <c r="R19" i="12" s="1"/>
  <c r="H13" i="12"/>
  <c r="H14" i="12" s="1"/>
  <c r="H17" i="12"/>
  <c r="D26" i="6"/>
  <c r="D14" i="6" s="1"/>
  <c r="L23" i="6" l="1"/>
  <c r="L16" i="3" s="1"/>
  <c r="I64" i="22"/>
  <c r="C107" i="22" s="1"/>
  <c r="C130" i="22" s="1"/>
  <c r="C142" i="21"/>
  <c r="E78" i="18"/>
  <c r="F78" i="18" s="1"/>
  <c r="E78" i="22"/>
  <c r="F78" i="22" s="1"/>
  <c r="C115" i="18"/>
  <c r="G100" i="21"/>
  <c r="H22" i="15"/>
  <c r="H29" i="15" s="1"/>
  <c r="I49" i="6"/>
  <c r="B60" i="16"/>
  <c r="B59" i="16"/>
  <c r="AH22" i="12"/>
  <c r="AH33" i="12"/>
  <c r="Y22" i="12"/>
  <c r="Y33" i="12"/>
  <c r="AG40" i="12" s="1"/>
  <c r="AF22" i="12"/>
  <c r="AF33" i="12"/>
  <c r="Z22" i="12"/>
  <c r="Z32" i="12" s="1"/>
  <c r="O25" i="6" s="1"/>
  <c r="Z33" i="12"/>
  <c r="X22" i="12"/>
  <c r="X33" i="12"/>
  <c r="W22" i="12"/>
  <c r="W33" i="12"/>
  <c r="AE40" i="12" s="1"/>
  <c r="M38" i="12"/>
  <c r="M35" i="12"/>
  <c r="D32" i="12"/>
  <c r="D35" i="12"/>
  <c r="N40" i="12"/>
  <c r="C34" i="12"/>
  <c r="M41" i="12" s="1"/>
  <c r="O41" i="12"/>
  <c r="R15" i="12"/>
  <c r="O22" i="12"/>
  <c r="O33" i="12"/>
  <c r="M40" i="12"/>
  <c r="H15" i="12"/>
  <c r="C22" i="12"/>
  <c r="H12" i="15"/>
  <c r="C80" i="21"/>
  <c r="F80" i="21" s="1"/>
  <c r="H80" i="21" s="1"/>
  <c r="F31" i="15"/>
  <c r="G47" i="6" s="1"/>
  <c r="F35" i="22"/>
  <c r="H35" i="22" s="1"/>
  <c r="F57" i="22"/>
  <c r="D14" i="15"/>
  <c r="D23" i="15" s="1"/>
  <c r="H34" i="22"/>
  <c r="C115" i="22"/>
  <c r="E46" i="6"/>
  <c r="E48" i="6"/>
  <c r="G9" i="5"/>
  <c r="E9" i="5"/>
  <c r="C47" i="21"/>
  <c r="F47" i="21" s="1"/>
  <c r="H47" i="21" s="1"/>
  <c r="E24" i="17"/>
  <c r="F24" i="17" s="1"/>
  <c r="C53" i="18"/>
  <c r="F53" i="18" s="1"/>
  <c r="H53" i="18" s="1"/>
  <c r="I19" i="18"/>
  <c r="F34" i="18"/>
  <c r="H34" i="18" s="1"/>
  <c r="G99" i="17"/>
  <c r="D127" i="17"/>
  <c r="C149" i="17"/>
  <c r="C50" i="6"/>
  <c r="C144" i="17"/>
  <c r="O23" i="13"/>
  <c r="F34" i="17"/>
  <c r="H34" i="17" s="1"/>
  <c r="D22" i="15"/>
  <c r="D29" i="15" s="1"/>
  <c r="O23" i="6"/>
  <c r="O16" i="3" s="1"/>
  <c r="AH38" i="12"/>
  <c r="N23" i="6"/>
  <c r="N16" i="3" s="1"/>
  <c r="AG38" i="12"/>
  <c r="I8" i="14"/>
  <c r="I41" i="6" s="1"/>
  <c r="H17" i="13"/>
  <c r="R22" i="13" s="1"/>
  <c r="H5" i="13"/>
  <c r="Z34" i="12"/>
  <c r="AH41" i="12" s="1"/>
  <c r="Y34" i="12"/>
  <c r="E20" i="12"/>
  <c r="E21" i="12" s="1"/>
  <c r="G6" i="13"/>
  <c r="G12" i="13" s="1"/>
  <c r="E31" i="12"/>
  <c r="E23" i="6" s="1"/>
  <c r="E16" i="3" s="1"/>
  <c r="F19" i="12"/>
  <c r="F18" i="13"/>
  <c r="Q22" i="13"/>
  <c r="X34" i="12"/>
  <c r="M26" i="6" s="1"/>
  <c r="M14" i="6" s="1"/>
  <c r="W34" i="12"/>
  <c r="C46" i="6"/>
  <c r="C51" i="6"/>
  <c r="C11" i="5" s="1"/>
  <c r="C22" i="15"/>
  <c r="C29" i="15" s="1"/>
  <c r="C30" i="15" s="1"/>
  <c r="D46" i="6"/>
  <c r="C14" i="15"/>
  <c r="C23" i="15" s="1"/>
  <c r="H9" i="5"/>
  <c r="H10" i="5"/>
  <c r="S10" i="12"/>
  <c r="S11" i="12" s="1"/>
  <c r="S13" i="12" s="1"/>
  <c r="S14" i="12" s="1"/>
  <c r="S3" i="13"/>
  <c r="S17" i="13" s="1"/>
  <c r="P21" i="13"/>
  <c r="F66" i="6" s="1"/>
  <c r="C67" i="6"/>
  <c r="C19" i="3"/>
  <c r="D10" i="3"/>
  <c r="C48" i="6"/>
  <c r="H16" i="5"/>
  <c r="H17" i="5"/>
  <c r="H15" i="5"/>
  <c r="Q12" i="13"/>
  <c r="Q13" i="13" s="1"/>
  <c r="Q16" i="13" s="1"/>
  <c r="E14" i="15"/>
  <c r="E23" i="15" s="1"/>
  <c r="F46" i="6"/>
  <c r="I16" i="12"/>
  <c r="R18" i="13"/>
  <c r="I38" i="6"/>
  <c r="E26" i="6"/>
  <c r="O15" i="6" l="1"/>
  <c r="O13" i="3" s="1"/>
  <c r="Y32" i="12"/>
  <c r="AG39" i="12" s="1"/>
  <c r="N67" i="6" s="1"/>
  <c r="X32" i="12"/>
  <c r="M25" i="6" s="1"/>
  <c r="M19" i="3" s="1"/>
  <c r="I59" i="6"/>
  <c r="H38" i="15"/>
  <c r="I50" i="6"/>
  <c r="H30" i="15"/>
  <c r="I51" i="6" s="1"/>
  <c r="H31" i="15"/>
  <c r="I47" i="6" s="1"/>
  <c r="D11" i="4" s="1"/>
  <c r="Z35" i="12"/>
  <c r="AF35" i="12"/>
  <c r="AF40" i="12"/>
  <c r="AF41" i="12"/>
  <c r="L26" i="6"/>
  <c r="L14" i="6" s="1"/>
  <c r="L10" i="3" s="1"/>
  <c r="AE41" i="12"/>
  <c r="AH35" i="12"/>
  <c r="AH40" i="12"/>
  <c r="N26" i="6"/>
  <c r="N14" i="6" s="1"/>
  <c r="N10" i="3" s="1"/>
  <c r="AG41" i="12"/>
  <c r="C35" i="6"/>
  <c r="AF32" i="12"/>
  <c r="W35" i="12"/>
  <c r="AE42" i="12" s="1"/>
  <c r="AE44" i="12" s="1"/>
  <c r="L68" i="6" s="1"/>
  <c r="L69" i="6" s="1"/>
  <c r="L63" i="6" s="1"/>
  <c r="Y35" i="12"/>
  <c r="AG42" i="12" s="1"/>
  <c r="AG44" i="12" s="1"/>
  <c r="N68" i="6" s="1"/>
  <c r="N69" i="6" s="1"/>
  <c r="N63" i="6" s="1"/>
  <c r="W32" i="12"/>
  <c r="AE39" i="12" s="1"/>
  <c r="L67" i="6" s="1"/>
  <c r="X35" i="12"/>
  <c r="AH32" i="12"/>
  <c r="E14" i="6"/>
  <c r="E10" i="3" s="1"/>
  <c r="C35" i="12"/>
  <c r="C27" i="6" s="1"/>
  <c r="C10" i="6" s="1"/>
  <c r="O35" i="12"/>
  <c r="O32" i="12"/>
  <c r="D27" i="6"/>
  <c r="D10" i="6" s="1"/>
  <c r="N42" i="12"/>
  <c r="S15" i="12"/>
  <c r="D25" i="6"/>
  <c r="N39" i="12"/>
  <c r="D67" i="6" s="1"/>
  <c r="E22" i="12"/>
  <c r="E33" i="12"/>
  <c r="E35" i="12" s="1"/>
  <c r="E79" i="21"/>
  <c r="F79" i="21" s="1"/>
  <c r="H79" i="21" s="1"/>
  <c r="O19" i="3"/>
  <c r="H57" i="22"/>
  <c r="E58" i="22"/>
  <c r="F58" i="22" s="1"/>
  <c r="O26" i="6"/>
  <c r="H24" i="17"/>
  <c r="H29" i="17" s="1"/>
  <c r="E102" i="17" s="1"/>
  <c r="F102" i="17" s="1"/>
  <c r="F29" i="17"/>
  <c r="C139" i="17" s="1"/>
  <c r="C35" i="18"/>
  <c r="F35" i="18" s="1"/>
  <c r="H35" i="18" s="1"/>
  <c r="C57" i="18"/>
  <c r="F57" i="18" s="1"/>
  <c r="H57" i="18" s="1"/>
  <c r="C142" i="17"/>
  <c r="G100" i="17"/>
  <c r="D51" i="6"/>
  <c r="D11" i="5" s="1"/>
  <c r="E50" i="6"/>
  <c r="E12" i="5" s="1"/>
  <c r="D30" i="15"/>
  <c r="E51" i="6" s="1"/>
  <c r="E11" i="5" s="1"/>
  <c r="I42" i="6"/>
  <c r="F32" i="17"/>
  <c r="C59" i="17"/>
  <c r="F59" i="17" s="1"/>
  <c r="H59" i="17" s="1"/>
  <c r="C26" i="6"/>
  <c r="C14" i="6" s="1"/>
  <c r="G18" i="13"/>
  <c r="G39" i="6" s="1"/>
  <c r="G17" i="3" s="1"/>
  <c r="H38" i="6"/>
  <c r="O38" i="12"/>
  <c r="H6" i="13"/>
  <c r="H12" i="13" s="1"/>
  <c r="G19" i="12"/>
  <c r="G31" i="12" s="1"/>
  <c r="G23" i="6" s="1"/>
  <c r="G16" i="3" s="1"/>
  <c r="Q31" i="12"/>
  <c r="F39" i="6"/>
  <c r="F17" i="3" s="1"/>
  <c r="P23" i="13"/>
  <c r="F23" i="12"/>
  <c r="F18" i="12" s="1"/>
  <c r="F31" i="12"/>
  <c r="F23" i="6" s="1"/>
  <c r="F16" i="3" s="1"/>
  <c r="F20" i="12"/>
  <c r="F21" i="12" s="1"/>
  <c r="P31" i="12"/>
  <c r="P20" i="12"/>
  <c r="P21" i="12" s="1"/>
  <c r="P23" i="12"/>
  <c r="P18" i="12" s="1"/>
  <c r="S5" i="13"/>
  <c r="S6" i="13" s="1"/>
  <c r="M10" i="3"/>
  <c r="C12" i="5"/>
  <c r="D50" i="6"/>
  <c r="D12" i="5" s="1"/>
  <c r="D48" i="6"/>
  <c r="S17" i="12"/>
  <c r="S16" i="12"/>
  <c r="G13" i="13"/>
  <c r="G16" i="13" s="1"/>
  <c r="H43" i="15"/>
  <c r="R12" i="13"/>
  <c r="R13" i="13" s="1"/>
  <c r="R16" i="13" s="1"/>
  <c r="G46" i="6"/>
  <c r="F14" i="15"/>
  <c r="F23" i="15" s="1"/>
  <c r="F48" i="6"/>
  <c r="E22" i="15"/>
  <c r="E29" i="15" s="1"/>
  <c r="E30" i="15" s="1"/>
  <c r="F51" i="6" s="1"/>
  <c r="F11" i="5" s="1"/>
  <c r="Q23" i="12"/>
  <c r="Q18" i="12" s="1"/>
  <c r="S22" i="13"/>
  <c r="C12" i="6" l="1"/>
  <c r="H13" i="13"/>
  <c r="H16" i="13" s="1"/>
  <c r="R21" i="13" s="1"/>
  <c r="H66" i="6" s="1"/>
  <c r="M15" i="6"/>
  <c r="M13" i="3" s="1"/>
  <c r="AF39" i="12"/>
  <c r="M67" i="6" s="1"/>
  <c r="N25" i="6"/>
  <c r="N15" i="6" s="1"/>
  <c r="N13" i="3" s="1"/>
  <c r="AH39" i="12"/>
  <c r="O67" i="6" s="1"/>
  <c r="G12" i="4" s="1"/>
  <c r="H81" i="21"/>
  <c r="E103" i="21" s="1"/>
  <c r="F103" i="21" s="1"/>
  <c r="F107" i="21" s="1"/>
  <c r="I57" i="6"/>
  <c r="I15" i="5" s="1"/>
  <c r="L9" i="4"/>
  <c r="M9" i="4"/>
  <c r="M42" i="12"/>
  <c r="M44" i="12" s="1"/>
  <c r="AH42" i="12"/>
  <c r="AH44" i="12" s="1"/>
  <c r="O68" i="6" s="1"/>
  <c r="O69" i="6" s="1"/>
  <c r="O63" i="6" s="1"/>
  <c r="N44" i="12"/>
  <c r="D68" i="6" s="1"/>
  <c r="D69" i="6" s="1"/>
  <c r="L25" i="6"/>
  <c r="L15" i="6" s="1"/>
  <c r="O14" i="6"/>
  <c r="O10" i="3" s="1"/>
  <c r="AF42" i="12"/>
  <c r="AF44" i="12" s="1"/>
  <c r="M68" i="6" s="1"/>
  <c r="M69" i="6" s="1"/>
  <c r="M63" i="6" s="1"/>
  <c r="C10" i="3"/>
  <c r="E32" i="12"/>
  <c r="E25" i="6" s="1"/>
  <c r="E19" i="3" s="1"/>
  <c r="O40" i="12"/>
  <c r="O42" i="12"/>
  <c r="D13" i="6"/>
  <c r="D61" i="6" s="1"/>
  <c r="D12" i="6"/>
  <c r="D11" i="6"/>
  <c r="D53" i="6" s="1"/>
  <c r="D9" i="3"/>
  <c r="D11" i="3" s="1"/>
  <c r="D15" i="6"/>
  <c r="D13" i="3" s="1"/>
  <c r="D19" i="3"/>
  <c r="P34" i="12"/>
  <c r="P22" i="12"/>
  <c r="P32" i="12" s="1"/>
  <c r="P33" i="12"/>
  <c r="Q34" i="12"/>
  <c r="F22" i="12"/>
  <c r="F32" i="12" s="1"/>
  <c r="F25" i="6" s="1"/>
  <c r="F19" i="3" s="1"/>
  <c r="F33" i="12"/>
  <c r="F81" i="21"/>
  <c r="E85" i="21" s="1"/>
  <c r="F85" i="21" s="1"/>
  <c r="H85" i="21" s="1"/>
  <c r="H58" i="22"/>
  <c r="H59" i="22" s="1"/>
  <c r="F59" i="22"/>
  <c r="M27" i="6"/>
  <c r="M10" i="6" s="1"/>
  <c r="C160" i="17"/>
  <c r="E140" i="17"/>
  <c r="D139" i="17"/>
  <c r="O27" i="6"/>
  <c r="O10" i="6" s="1"/>
  <c r="L27" i="6"/>
  <c r="L10" i="6" s="1"/>
  <c r="N27" i="6"/>
  <c r="N10" i="6" s="1"/>
  <c r="H32" i="17"/>
  <c r="Q23" i="13"/>
  <c r="H18" i="13"/>
  <c r="H39" i="6" s="1"/>
  <c r="H17" i="3" s="1"/>
  <c r="H19" i="12"/>
  <c r="H31" i="12" s="1"/>
  <c r="H23" i="6" s="1"/>
  <c r="H16" i="3" s="1"/>
  <c r="C80" i="17"/>
  <c r="F80" i="17" s="1"/>
  <c r="H80" i="17" s="1"/>
  <c r="C33" i="17"/>
  <c r="F33" i="17" s="1"/>
  <c r="H33" i="17" s="1"/>
  <c r="F46" i="17"/>
  <c r="H46" i="17" s="1"/>
  <c r="F47" i="17"/>
  <c r="H47" i="17" s="1"/>
  <c r="S18" i="13"/>
  <c r="S19" i="12"/>
  <c r="S31" i="12" s="1"/>
  <c r="G23" i="12"/>
  <c r="G18" i="12" s="1"/>
  <c r="Q20" i="12"/>
  <c r="Q21" i="12" s="1"/>
  <c r="G20" i="12"/>
  <c r="G21" i="12" s="1"/>
  <c r="P38" i="12"/>
  <c r="F34" i="12"/>
  <c r="I58" i="6"/>
  <c r="F50" i="6"/>
  <c r="F12" i="5" s="1"/>
  <c r="I9" i="5"/>
  <c r="G37" i="6"/>
  <c r="Q21" i="13"/>
  <c r="G66" i="6" s="1"/>
  <c r="R20" i="12"/>
  <c r="R21" i="12" s="1"/>
  <c r="R31" i="12"/>
  <c r="R23" i="12"/>
  <c r="Q38" i="12"/>
  <c r="I18" i="13"/>
  <c r="I39" i="6" s="1"/>
  <c r="I17" i="3" s="1"/>
  <c r="I19" i="12"/>
  <c r="F22" i="15"/>
  <c r="F29" i="15" s="1"/>
  <c r="F30" i="15" s="1"/>
  <c r="G51" i="6" s="1"/>
  <c r="G11" i="5" s="1"/>
  <c r="G48" i="6"/>
  <c r="S12" i="13"/>
  <c r="N19" i="3" l="1"/>
  <c r="D63" i="6"/>
  <c r="C143" i="21"/>
  <c r="C161" i="21" s="1"/>
  <c r="L13" i="3"/>
  <c r="G9" i="4"/>
  <c r="G11" i="4"/>
  <c r="G107" i="21"/>
  <c r="C145" i="21" s="1"/>
  <c r="G120" i="21"/>
  <c r="H120" i="21" s="1"/>
  <c r="E79" i="22"/>
  <c r="F79" i="22" s="1"/>
  <c r="F83" i="22" s="1"/>
  <c r="C119" i="22" s="1"/>
  <c r="C68" i="6"/>
  <c r="C69" i="6" s="1"/>
  <c r="M10" i="4"/>
  <c r="F10" i="4" s="1"/>
  <c r="L10" i="4"/>
  <c r="E10" i="4" s="1"/>
  <c r="M11" i="4"/>
  <c r="F11" i="4" s="1"/>
  <c r="L11" i="4"/>
  <c r="E11" i="4" s="1"/>
  <c r="E9" i="4"/>
  <c r="C9" i="3"/>
  <c r="C13" i="6"/>
  <c r="C54" i="6" s="1"/>
  <c r="C11" i="6"/>
  <c r="C53" i="6" s="1"/>
  <c r="O39" i="12"/>
  <c r="E67" i="6" s="1"/>
  <c r="L19" i="3"/>
  <c r="O44" i="12"/>
  <c r="E68" i="6" s="1"/>
  <c r="E69" i="6" s="1"/>
  <c r="E63" i="6" s="1"/>
  <c r="E15" i="6"/>
  <c r="E13" i="3" s="1"/>
  <c r="D54" i="6"/>
  <c r="G34" i="12"/>
  <c r="Q41" i="12" s="1"/>
  <c r="F15" i="6"/>
  <c r="F13" i="3" s="1"/>
  <c r="P39" i="12"/>
  <c r="F67" i="6" s="1"/>
  <c r="F35" i="12"/>
  <c r="F27" i="6" s="1"/>
  <c r="F10" i="6" s="1"/>
  <c r="P35" i="12"/>
  <c r="P40" i="12"/>
  <c r="D12" i="3"/>
  <c r="Q22" i="12"/>
  <c r="Q33" i="12"/>
  <c r="P41" i="12"/>
  <c r="R22" i="12"/>
  <c r="R32" i="12" s="1"/>
  <c r="R33" i="12"/>
  <c r="G22" i="12"/>
  <c r="G32" i="12" s="1"/>
  <c r="G25" i="6" s="1"/>
  <c r="G15" i="6" s="1"/>
  <c r="G13" i="3" s="1"/>
  <c r="G33" i="12"/>
  <c r="E86" i="21"/>
  <c r="F86" i="21" s="1"/>
  <c r="H86" i="21" s="1"/>
  <c r="E87" i="21"/>
  <c r="F87" i="21" s="1"/>
  <c r="H87" i="21" s="1"/>
  <c r="E62" i="22"/>
  <c r="F62" i="22" s="1"/>
  <c r="H62" i="22" s="1"/>
  <c r="E61" i="22"/>
  <c r="F61" i="22" s="1"/>
  <c r="E63" i="22"/>
  <c r="F63" i="22" s="1"/>
  <c r="H63" i="22" s="1"/>
  <c r="R23" i="13"/>
  <c r="N9" i="3"/>
  <c r="N11" i="3" s="1"/>
  <c r="N13" i="6"/>
  <c r="N54" i="6" s="1"/>
  <c r="N12" i="6"/>
  <c r="N11" i="6"/>
  <c r="N53" i="6" s="1"/>
  <c r="M11" i="6"/>
  <c r="M53" i="6" s="1"/>
  <c r="H10" i="4" s="1"/>
  <c r="M9" i="3"/>
  <c r="M11" i="3" s="1"/>
  <c r="M13" i="6"/>
  <c r="M54" i="6" s="1"/>
  <c r="M12" i="6"/>
  <c r="L9" i="3"/>
  <c r="L11" i="3" s="1"/>
  <c r="L13" i="6"/>
  <c r="L54" i="6" s="1"/>
  <c r="L11" i="6"/>
  <c r="L53" i="6" s="1"/>
  <c r="L12" i="6"/>
  <c r="O12" i="6"/>
  <c r="O9" i="3"/>
  <c r="O12" i="3" s="1"/>
  <c r="O11" i="6"/>
  <c r="O53" i="6" s="1"/>
  <c r="O13" i="6"/>
  <c r="O54" i="6" s="1"/>
  <c r="F9" i="4"/>
  <c r="I16" i="5"/>
  <c r="H23" i="12"/>
  <c r="H18" i="12" s="1"/>
  <c r="H20" i="12"/>
  <c r="H21" i="12" s="1"/>
  <c r="E79" i="17"/>
  <c r="F79" i="17" s="1"/>
  <c r="H79" i="17" s="1"/>
  <c r="H81" i="17" s="1"/>
  <c r="E103" i="17" s="1"/>
  <c r="H37" i="6"/>
  <c r="E27" i="6"/>
  <c r="E10" i="6" s="1"/>
  <c r="F26" i="6"/>
  <c r="G14" i="15"/>
  <c r="G23" i="15" s="1"/>
  <c r="H48" i="6"/>
  <c r="H46" i="6"/>
  <c r="G50" i="6"/>
  <c r="G12" i="5" s="1"/>
  <c r="I17" i="5"/>
  <c r="I13" i="13"/>
  <c r="I16" i="13" s="1"/>
  <c r="I37" i="6" s="1"/>
  <c r="I20" i="12"/>
  <c r="I21" i="12" s="1"/>
  <c r="I33" i="12" s="1"/>
  <c r="I23" i="12"/>
  <c r="I18" i="12" s="1"/>
  <c r="I31" i="12"/>
  <c r="R18" i="12"/>
  <c r="R38" i="12"/>
  <c r="I10" i="5"/>
  <c r="S23" i="13"/>
  <c r="S13" i="13"/>
  <c r="S16" i="13" s="1"/>
  <c r="S23" i="12"/>
  <c r="S18" i="12" s="1"/>
  <c r="S20" i="12"/>
  <c r="S21" i="12" s="1"/>
  <c r="E144" i="21" l="1"/>
  <c r="E145" i="21" s="1"/>
  <c r="E147" i="21" s="1"/>
  <c r="C11" i="3"/>
  <c r="C12" i="3"/>
  <c r="G10" i="4"/>
  <c r="G95" i="22"/>
  <c r="H95" i="22" s="1"/>
  <c r="C63" i="6"/>
  <c r="H91" i="22"/>
  <c r="G82" i="22"/>
  <c r="C121" i="22" s="1"/>
  <c r="H118" i="21"/>
  <c r="H88" i="21"/>
  <c r="H90" i="21" s="1"/>
  <c r="G35" i="12"/>
  <c r="G27" i="6" s="1"/>
  <c r="G10" i="6" s="1"/>
  <c r="G11" i="6" s="1"/>
  <c r="G53" i="6" s="1"/>
  <c r="F81" i="17"/>
  <c r="E86" i="17" s="1"/>
  <c r="F86" i="17" s="1"/>
  <c r="H86" i="17" s="1"/>
  <c r="C61" i="6"/>
  <c r="G26" i="6"/>
  <c r="G14" i="6" s="1"/>
  <c r="G10" i="3" s="1"/>
  <c r="F14" i="6"/>
  <c r="F10" i="3" s="1"/>
  <c r="I34" i="12"/>
  <c r="I35" i="12" s="1"/>
  <c r="H34" i="12"/>
  <c r="H26" i="6" s="1"/>
  <c r="P42" i="12"/>
  <c r="S34" i="12"/>
  <c r="Q35" i="12"/>
  <c r="Q40" i="12"/>
  <c r="Q32" i="12"/>
  <c r="Q39" i="12" s="1"/>
  <c r="G67" i="6" s="1"/>
  <c r="R34" i="12"/>
  <c r="R35" i="12" s="1"/>
  <c r="G19" i="3"/>
  <c r="S22" i="12"/>
  <c r="S32" i="12" s="1"/>
  <c r="S33" i="12"/>
  <c r="L12" i="3"/>
  <c r="N12" i="3"/>
  <c r="H22" i="12"/>
  <c r="H32" i="12" s="1"/>
  <c r="H25" i="6" s="1"/>
  <c r="H19" i="3" s="1"/>
  <c r="H33" i="12"/>
  <c r="F88" i="21"/>
  <c r="F90" i="21" s="1"/>
  <c r="F64" i="22"/>
  <c r="F66" i="22" s="1"/>
  <c r="F67" i="22" s="1"/>
  <c r="H61" i="22"/>
  <c r="H64" i="22" s="1"/>
  <c r="H66" i="22" s="1"/>
  <c r="E120" i="22"/>
  <c r="C137" i="22"/>
  <c r="M12" i="3"/>
  <c r="O11" i="3"/>
  <c r="F103" i="17"/>
  <c r="F107" i="17" s="1"/>
  <c r="G22" i="15"/>
  <c r="G29" i="15" s="1"/>
  <c r="E13" i="6"/>
  <c r="E61" i="6" s="1"/>
  <c r="E11" i="6"/>
  <c r="E53" i="6" s="1"/>
  <c r="E12" i="6"/>
  <c r="E9" i="3"/>
  <c r="F13" i="6"/>
  <c r="F61" i="6" s="1"/>
  <c r="F12" i="6"/>
  <c r="F11" i="6"/>
  <c r="F53" i="6" s="1"/>
  <c r="F9" i="3"/>
  <c r="I23" i="6"/>
  <c r="I16" i="3" s="1"/>
  <c r="I46" i="6"/>
  <c r="H14" i="15"/>
  <c r="S21" i="13"/>
  <c r="I66" i="6" s="1"/>
  <c r="I22" i="12"/>
  <c r="S38" i="12"/>
  <c r="I48" i="6"/>
  <c r="F95" i="22" l="1"/>
  <c r="F97" i="22" s="1"/>
  <c r="M57" i="6" s="1"/>
  <c r="H67" i="22"/>
  <c r="F4" i="22" s="1"/>
  <c r="F120" i="21"/>
  <c r="F122" i="21" s="1"/>
  <c r="N57" i="6" s="1"/>
  <c r="Q42" i="12"/>
  <c r="Q44" i="12" s="1"/>
  <c r="G68" i="6" s="1"/>
  <c r="G69" i="6" s="1"/>
  <c r="G63" i="6" s="1"/>
  <c r="F91" i="21"/>
  <c r="N56" i="6"/>
  <c r="G120" i="17"/>
  <c r="H120" i="17" s="1"/>
  <c r="H91" i="21"/>
  <c r="H35" i="12"/>
  <c r="R42" i="12" s="1"/>
  <c r="H23" i="15"/>
  <c r="P44" i="12"/>
  <c r="F68" i="6" s="1"/>
  <c r="F69" i="6" s="1"/>
  <c r="F63" i="6" s="1"/>
  <c r="G9" i="3"/>
  <c r="G12" i="3" s="1"/>
  <c r="G12" i="6"/>
  <c r="G13" i="6"/>
  <c r="G61" i="6" s="1"/>
  <c r="H14" i="6"/>
  <c r="H10" i="3" s="1"/>
  <c r="R40" i="12"/>
  <c r="R41" i="12"/>
  <c r="S41" i="12"/>
  <c r="R39" i="12"/>
  <c r="H67" i="6" s="1"/>
  <c r="S35" i="12"/>
  <c r="S42" i="12" s="1"/>
  <c r="S40" i="12"/>
  <c r="H15" i="6"/>
  <c r="H13" i="3" s="1"/>
  <c r="C116" i="22"/>
  <c r="M56" i="6"/>
  <c r="H50" i="6"/>
  <c r="G30" i="15"/>
  <c r="H51" i="6" s="1"/>
  <c r="G107" i="17"/>
  <c r="H118" i="17" s="1"/>
  <c r="C143" i="17"/>
  <c r="E144" i="17" s="1"/>
  <c r="E145" i="17" s="1"/>
  <c r="E147" i="17" s="1"/>
  <c r="E87" i="17"/>
  <c r="F87" i="17" s="1"/>
  <c r="H87" i="17" s="1"/>
  <c r="E85" i="17"/>
  <c r="F85" i="17" s="1"/>
  <c r="E11" i="3"/>
  <c r="E12" i="3"/>
  <c r="E54" i="6"/>
  <c r="F11" i="3"/>
  <c r="F12" i="3"/>
  <c r="F54" i="6"/>
  <c r="I32" i="12"/>
  <c r="S39" i="12" s="1"/>
  <c r="I27" i="6"/>
  <c r="I10" i="6" s="1"/>
  <c r="I12" i="6" s="1"/>
  <c r="I11" i="5"/>
  <c r="I26" i="6"/>
  <c r="I14" i="6" s="1"/>
  <c r="F121" i="21" l="1"/>
  <c r="F5" i="21" s="1"/>
  <c r="G96" i="22"/>
  <c r="H11" i="5"/>
  <c r="D10" i="4"/>
  <c r="H12" i="5"/>
  <c r="D9" i="4"/>
  <c r="N58" i="6"/>
  <c r="C141" i="21"/>
  <c r="D145" i="21" s="1"/>
  <c r="H121" i="21"/>
  <c r="F4" i="21"/>
  <c r="G54" i="6"/>
  <c r="G11" i="3"/>
  <c r="S44" i="12"/>
  <c r="I68" i="6" s="1"/>
  <c r="R44" i="12"/>
  <c r="H68" i="6" s="1"/>
  <c r="H69" i="6" s="1"/>
  <c r="I67" i="6"/>
  <c r="C12" i="4" s="1"/>
  <c r="H27" i="6"/>
  <c r="H10" i="6" s="1"/>
  <c r="H12" i="6" s="1"/>
  <c r="M58" i="6"/>
  <c r="E117" i="22"/>
  <c r="E115" i="22"/>
  <c r="C136" i="22"/>
  <c r="F96" i="22"/>
  <c r="F5" i="22" s="1"/>
  <c r="F6" i="22" s="1"/>
  <c r="F8" i="22" s="1"/>
  <c r="H103" i="22"/>
  <c r="H104" i="22" s="1"/>
  <c r="C117" i="22"/>
  <c r="C126" i="22" s="1"/>
  <c r="C142" i="22" s="1"/>
  <c r="F88" i="17"/>
  <c r="F90" i="17" s="1"/>
  <c r="L56" i="6" s="1"/>
  <c r="H85" i="17"/>
  <c r="H88" i="17" s="1"/>
  <c r="H90" i="17" s="1"/>
  <c r="F120" i="17" s="1"/>
  <c r="F122" i="17" s="1"/>
  <c r="L57" i="6" s="1"/>
  <c r="L58" i="6" s="1"/>
  <c r="C145" i="17"/>
  <c r="C161" i="17"/>
  <c r="I25" i="6"/>
  <c r="I15" i="6" s="1"/>
  <c r="I10" i="3"/>
  <c r="I13" i="6"/>
  <c r="I61" i="6" s="1"/>
  <c r="I11" i="6"/>
  <c r="I53" i="6" s="1"/>
  <c r="I9" i="3"/>
  <c r="I12" i="3" s="1"/>
  <c r="H63" i="6" l="1"/>
  <c r="F6" i="21"/>
  <c r="F8" i="21" s="1"/>
  <c r="N59" i="6" s="1"/>
  <c r="H91" i="17"/>
  <c r="C150" i="21"/>
  <c r="C166" i="21" s="1"/>
  <c r="I69" i="6"/>
  <c r="C11" i="4" s="1"/>
  <c r="F12" i="22"/>
  <c r="F14" i="22" s="1"/>
  <c r="H11" i="6"/>
  <c r="H53" i="6" s="1"/>
  <c r="H13" i="6"/>
  <c r="H54" i="6" s="1"/>
  <c r="H9" i="3"/>
  <c r="H12" i="3" s="1"/>
  <c r="F91" i="17"/>
  <c r="I54" i="6"/>
  <c r="I12" i="5"/>
  <c r="I19" i="3"/>
  <c r="I13" i="3"/>
  <c r="I11" i="3"/>
  <c r="F12" i="21" l="1"/>
  <c r="F14" i="21" s="1"/>
  <c r="N61" i="6"/>
  <c r="F121" i="17"/>
  <c r="F5" i="17" s="1"/>
  <c r="F4" i="17"/>
  <c r="H121" i="17"/>
  <c r="M59" i="6"/>
  <c r="M61" i="6" s="1"/>
  <c r="H11" i="3"/>
  <c r="I63" i="6"/>
  <c r="C9" i="4" s="1"/>
  <c r="C10" i="4" s="1"/>
  <c r="H61" i="6"/>
  <c r="C141" i="17"/>
  <c r="C150" i="17" s="1"/>
  <c r="C166" i="17" s="1"/>
  <c r="F6" i="17" l="1"/>
  <c r="F8" i="17" s="1"/>
  <c r="L59" i="6" s="1"/>
  <c r="L61" i="6" s="1"/>
  <c r="D145" i="17"/>
  <c r="F12" i="17" l="1"/>
  <c r="F14" i="17" s="1"/>
  <c r="F40" i="18"/>
  <c r="I40" i="18"/>
  <c r="F41" i="18"/>
  <c r="I41" i="18"/>
  <c r="H41" i="18" l="1"/>
  <c r="H40" i="18"/>
  <c r="E58" i="18"/>
  <c r="I64" i="18"/>
  <c r="C107" i="18" s="1"/>
  <c r="C130" i="18" s="1"/>
  <c r="F58" i="18" l="1"/>
  <c r="H58" i="18" l="1"/>
  <c r="F59" i="18"/>
  <c r="H59" i="18" l="1"/>
  <c r="E62" i="18"/>
  <c r="F62" i="18" s="1"/>
  <c r="H62" i="18" s="1"/>
  <c r="E61" i="18"/>
  <c r="F61" i="18" s="1"/>
  <c r="E63" i="18"/>
  <c r="F63" i="18" s="1"/>
  <c r="H63" i="18" s="1"/>
  <c r="E79" i="18" l="1"/>
  <c r="F79" i="18" s="1"/>
  <c r="F83" i="18" s="1"/>
  <c r="H61" i="18"/>
  <c r="H64" i="18" s="1"/>
  <c r="H66" i="18" s="1"/>
  <c r="H67" i="18" s="1"/>
  <c r="F64" i="18"/>
  <c r="F95" i="18" l="1"/>
  <c r="F97" i="18" s="1"/>
  <c r="O57" i="6" s="1"/>
  <c r="H91" i="18"/>
  <c r="G95" i="18"/>
  <c r="H95" i="18" s="1"/>
  <c r="G82" i="18"/>
  <c r="C119" i="18"/>
  <c r="F66" i="18"/>
  <c r="O56" i="6" s="1"/>
  <c r="C116" i="18"/>
  <c r="O58" i="6" l="1"/>
  <c r="L19" i="4"/>
  <c r="I11" i="4" s="1"/>
  <c r="M19" i="4"/>
  <c r="J11" i="4" s="1"/>
  <c r="L20" i="4"/>
  <c r="I12" i="4" s="1"/>
  <c r="M20" i="4"/>
  <c r="J12" i="4" s="1"/>
  <c r="H103" i="18"/>
  <c r="H104" i="18" s="1"/>
  <c r="F96" i="18"/>
  <c r="F5" i="18" s="1"/>
  <c r="C137" i="18"/>
  <c r="E120" i="18"/>
  <c r="C121" i="18"/>
  <c r="G96" i="18"/>
  <c r="F67" i="18"/>
  <c r="F4" i="18"/>
  <c r="C117" i="18"/>
  <c r="C136" i="18"/>
  <c r="E117" i="18"/>
  <c r="E115" i="18"/>
  <c r="L18" i="4" l="1"/>
  <c r="I10" i="4" s="1"/>
  <c r="M18" i="4"/>
  <c r="J10" i="4" s="1"/>
  <c r="C126" i="18"/>
  <c r="C142" i="18" s="1"/>
  <c r="F6" i="18"/>
  <c r="F8" i="18" s="1"/>
  <c r="O59" i="6" s="1"/>
  <c r="M17" i="4" l="1"/>
  <c r="J9" i="4" s="1"/>
  <c r="L17" i="4"/>
  <c r="I9" i="4" s="1"/>
  <c r="F12" i="18"/>
  <c r="F14" i="18" s="1"/>
  <c r="O6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Holly Halliwill</author>
    <author>Microsoft Office User</author>
    <author xml:space="preserve"> </author>
    <author>JD Lindeberg</author>
  </authors>
  <commentList>
    <comment ref="E110" authorId="0" shapeId="0" xr:uid="{25A352E0-76E5-40C8-82ED-BA3D5A6DD028}">
      <text>
        <r>
          <rPr>
            <b/>
            <sz val="9"/>
            <color indexed="81"/>
            <rFont val="Tahoma"/>
            <family val="2"/>
          </rPr>
          <t>Holly Halliwill:</t>
        </r>
        <r>
          <rPr>
            <sz val="9"/>
            <color indexed="81"/>
            <rFont val="Tahoma"/>
            <family val="2"/>
          </rPr>
          <t xml:space="preserve">
2 gal/hour consumption</t>
        </r>
      </text>
    </comment>
    <comment ref="C113" authorId="1" shapeId="0" xr:uid="{00766B05-E57E-4F22-991B-7790110BA87C}">
      <text>
        <r>
          <rPr>
            <b/>
            <sz val="10"/>
            <color rgb="FF000000"/>
            <rFont val="Calibri"/>
            <family val="2"/>
          </rPr>
          <t>Microsoft Office User:</t>
        </r>
        <r>
          <rPr>
            <sz val="10"/>
            <color rgb="FF000000"/>
            <rFont val="Calibri"/>
            <family val="2"/>
          </rPr>
          <t xml:space="preserve"> was =((C15*2000)/650)*0.6
</t>
        </r>
        <r>
          <rPr>
            <sz val="10"/>
            <color rgb="FF000000"/>
            <rFont val="Calibri"/>
            <family val="2"/>
          </rPr>
          <t xml:space="preserve">changed cuz no 
</t>
        </r>
        <r>
          <rPr>
            <sz val="10"/>
            <color rgb="FF000000"/>
            <rFont val="Calibri"/>
            <family val="2"/>
          </rPr>
          <t xml:space="preserve">purchase of external wood chips
</t>
        </r>
      </text>
    </comment>
    <comment ref="E113" authorId="2" shapeId="0" xr:uid="{F160E7C3-EA16-4A3E-AB0D-3A57D8C31125}">
      <text>
        <r>
          <rPr>
            <b/>
            <sz val="8"/>
            <color rgb="FF000000"/>
            <rFont val="Tahoma"/>
            <family val="2"/>
          </rPr>
          <t xml:space="preserve"> :Price from Delta</t>
        </r>
      </text>
    </comment>
    <comment ref="C115" authorId="3" shapeId="0" xr:uid="{7B08B28B-B404-4408-AD4D-C1223429CF6E}">
      <text>
        <r>
          <rPr>
            <b/>
            <sz val="10"/>
            <color rgb="FF000000"/>
            <rFont val="Tahoma"/>
            <family val="2"/>
          </rPr>
          <t>JD Lindeberg:</t>
        </r>
        <r>
          <rPr>
            <sz val="10"/>
            <color rgb="FF000000"/>
            <rFont val="Tahoma"/>
            <family val="2"/>
          </rPr>
          <t xml:space="preserve">
</t>
        </r>
        <r>
          <rPr>
            <sz val="10"/>
            <color rgb="FF000000"/>
            <rFont val="Tahoma"/>
            <family val="2"/>
          </rPr>
          <t>Assume half of incoming wood is dropped off grpimd amd half reqiuries grinding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Holly Halliwill</author>
    <author>Microsoft Office User</author>
    <author xml:space="preserve"> </author>
  </authors>
  <commentList>
    <comment ref="I25" authorId="0" shapeId="0" xr:uid="{3D2C3D70-FF09-4D01-851D-CE1BA483E995}">
      <text>
        <r>
          <rPr>
            <b/>
            <sz val="9"/>
            <color indexed="81"/>
            <rFont val="Tahoma"/>
            <family val="2"/>
          </rPr>
          <t>Holly Halliwill:</t>
        </r>
        <r>
          <rPr>
            <sz val="9"/>
            <color indexed="81"/>
            <rFont val="Tahoma"/>
            <family val="2"/>
          </rPr>
          <t xml:space="preserve">
Source: On-farm composting handbook. Adjusted for inflation since 1992. </t>
        </r>
      </text>
    </comment>
    <comment ref="C85" authorId="1" shapeId="0" xr:uid="{2C5F838E-D2C6-4795-BDEF-9D073B8EB4DE}">
      <text>
        <r>
          <rPr>
            <b/>
            <sz val="10"/>
            <color rgb="FF000000"/>
            <rFont val="Calibri"/>
            <family val="2"/>
          </rPr>
          <t>Microsoft Office User:</t>
        </r>
        <r>
          <rPr>
            <sz val="10"/>
            <color rgb="FF000000"/>
            <rFont val="Calibri"/>
            <family val="2"/>
          </rPr>
          <t xml:space="preserve">
</t>
        </r>
        <r>
          <rPr>
            <sz val="10"/>
            <color rgb="FF000000"/>
            <rFont val="Calibri"/>
            <family val="2"/>
          </rPr>
          <t>turned every four weeks with a stradddle turner at 2000 CY/hr</t>
        </r>
      </text>
    </comment>
    <comment ref="C86" authorId="1" shapeId="0" xr:uid="{0E529F22-95B6-4479-816C-1FC993080B9D}">
      <text>
        <r>
          <rPr>
            <b/>
            <sz val="10"/>
            <color rgb="FF000000"/>
            <rFont val="Calibri"/>
            <family val="2"/>
          </rPr>
          <t xml:space="preserve">Holly Halliwill: 
</t>
        </r>
        <r>
          <rPr>
            <sz val="10"/>
            <color rgb="FF000000"/>
            <rFont val="Calibri"/>
            <family val="2"/>
          </rPr>
          <t>time for handling incoming material, material to be ground, material to be screened, and 1:1 time with windrow turner. 50% addition factor included.</t>
        </r>
      </text>
    </comment>
    <comment ref="E89" authorId="2" shapeId="0" xr:uid="{751A0996-FD25-4A1E-93F7-1AAA7D09EC2F}">
      <text>
        <r>
          <rPr>
            <b/>
            <sz val="8"/>
            <color rgb="FF000000"/>
            <rFont val="Tahoma"/>
            <family val="2"/>
          </rPr>
          <t xml:space="preserve"> :Price from Delta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Holly Halliwill</author>
    <author>Microsoft Office User</author>
    <author xml:space="preserve"> </author>
    <author>JD Lindeberg</author>
  </authors>
  <commentList>
    <comment ref="S69" authorId="0" shapeId="0" xr:uid="{3BC87351-121A-4FB6-8421-D54D9BB340E5}">
      <text>
        <r>
          <rPr>
            <b/>
            <sz val="9"/>
            <color indexed="81"/>
            <rFont val="Tahoma"/>
            <family val="2"/>
          </rPr>
          <t>Holly Halliwill:</t>
        </r>
        <r>
          <rPr>
            <sz val="9"/>
            <color indexed="81"/>
            <rFont val="Tahoma"/>
            <family val="2"/>
          </rPr>
          <t xml:space="preserve">
https://www.in2013dollars.com/us/inflation/2015</t>
        </r>
      </text>
    </comment>
    <comment ref="E110" authorId="0" shapeId="0" xr:uid="{C95474D6-44B7-49EA-B61C-BD68BBEF75C4}">
      <text>
        <r>
          <rPr>
            <b/>
            <sz val="9"/>
            <color indexed="81"/>
            <rFont val="Tahoma"/>
            <family val="2"/>
          </rPr>
          <t>Holly Halliwill:</t>
        </r>
        <r>
          <rPr>
            <sz val="9"/>
            <color indexed="81"/>
            <rFont val="Tahoma"/>
            <family val="2"/>
          </rPr>
          <t xml:space="preserve">
2 gal/hour consumption</t>
        </r>
      </text>
    </comment>
    <comment ref="C113" authorId="1" shapeId="0" xr:uid="{C796CF53-1A81-4A3B-9761-F5FF97D72AA1}">
      <text>
        <r>
          <rPr>
            <b/>
            <sz val="10"/>
            <color rgb="FF000000"/>
            <rFont val="Calibri"/>
            <family val="2"/>
          </rPr>
          <t>Microsoft Office User:</t>
        </r>
        <r>
          <rPr>
            <sz val="10"/>
            <color rgb="FF000000"/>
            <rFont val="Calibri"/>
            <family val="2"/>
          </rPr>
          <t xml:space="preserve"> was =((C15*2000)/650)*0.6
</t>
        </r>
        <r>
          <rPr>
            <sz val="10"/>
            <color rgb="FF000000"/>
            <rFont val="Calibri"/>
            <family val="2"/>
          </rPr>
          <t xml:space="preserve">changed cuz no 
</t>
        </r>
        <r>
          <rPr>
            <sz val="10"/>
            <color rgb="FF000000"/>
            <rFont val="Calibri"/>
            <family val="2"/>
          </rPr>
          <t xml:space="preserve">purchase of external wood chips
</t>
        </r>
      </text>
    </comment>
    <comment ref="E113" authorId="2" shapeId="0" xr:uid="{A11B504F-8CB2-470F-BC69-34EAF682BF91}">
      <text>
        <r>
          <rPr>
            <b/>
            <sz val="8"/>
            <color rgb="FF000000"/>
            <rFont val="Tahoma"/>
            <family val="2"/>
          </rPr>
          <t xml:space="preserve"> :Price from Delta</t>
        </r>
      </text>
    </comment>
    <comment ref="C115" authorId="3" shapeId="0" xr:uid="{77631F93-443F-4959-8EEC-EB2BFDA7C75B}">
      <text>
        <r>
          <rPr>
            <b/>
            <sz val="10"/>
            <color rgb="FF000000"/>
            <rFont val="Tahoma"/>
            <family val="2"/>
          </rPr>
          <t>JD Lindeberg:</t>
        </r>
        <r>
          <rPr>
            <sz val="10"/>
            <color rgb="FF000000"/>
            <rFont val="Tahoma"/>
            <family val="2"/>
          </rPr>
          <t xml:space="preserve">
</t>
        </r>
        <r>
          <rPr>
            <sz val="10"/>
            <color rgb="FF000000"/>
            <rFont val="Tahoma"/>
            <family val="2"/>
          </rPr>
          <t>Assume half of incoming wood is dropped off grpimd amd half reqiuries grinding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Holly Halliwill</author>
    <author>Microsoft Office User</author>
    <author xml:space="preserve"> </author>
  </authors>
  <commentList>
    <comment ref="I25" authorId="0" shapeId="0" xr:uid="{2450450D-EAB8-4777-8E95-20CF0DD5C771}">
      <text>
        <r>
          <rPr>
            <b/>
            <sz val="9"/>
            <color indexed="81"/>
            <rFont val="Tahoma"/>
            <family val="2"/>
          </rPr>
          <t>Holly Halliwill:</t>
        </r>
        <r>
          <rPr>
            <sz val="9"/>
            <color indexed="81"/>
            <rFont val="Tahoma"/>
            <family val="2"/>
          </rPr>
          <t xml:space="preserve">
Source: On-farm composting handbook. Adjusted for inflation since 1992. </t>
        </r>
      </text>
    </comment>
    <comment ref="C85" authorId="1" shapeId="0" xr:uid="{62C466E1-3B02-46F9-8C8B-6822A4A3B37A}">
      <text>
        <r>
          <rPr>
            <b/>
            <sz val="10"/>
            <color rgb="FF000000"/>
            <rFont val="Calibri"/>
            <family val="2"/>
          </rPr>
          <t>Microsoft Office User:</t>
        </r>
        <r>
          <rPr>
            <sz val="10"/>
            <color rgb="FF000000"/>
            <rFont val="Calibri"/>
            <family val="2"/>
          </rPr>
          <t xml:space="preserve">
</t>
        </r>
        <r>
          <rPr>
            <sz val="10"/>
            <color rgb="FF000000"/>
            <rFont val="Calibri"/>
            <family val="2"/>
          </rPr>
          <t>turned every four weeks with a stradddle turner at 2000 CY/hr</t>
        </r>
      </text>
    </comment>
    <comment ref="C86" authorId="1" shapeId="0" xr:uid="{E9BCAA1F-8413-473F-A025-7AE448374F39}">
      <text>
        <r>
          <rPr>
            <b/>
            <sz val="10"/>
            <color rgb="FF000000"/>
            <rFont val="Calibri"/>
            <family val="2"/>
          </rPr>
          <t xml:space="preserve">Holly Halliwill: 
</t>
        </r>
        <r>
          <rPr>
            <sz val="10"/>
            <color rgb="FF000000"/>
            <rFont val="Calibri"/>
            <family val="2"/>
          </rPr>
          <t>time for handling incoming material, material to be ground, material to be screened, and 1:1 time with windrow turner. 50% addition factor included.</t>
        </r>
      </text>
    </comment>
    <comment ref="E89" authorId="2" shapeId="0" xr:uid="{8C42629B-27FB-40EE-AFA9-8F67A34F3D57}">
      <text>
        <r>
          <rPr>
            <b/>
            <sz val="8"/>
            <color rgb="FF000000"/>
            <rFont val="Tahoma"/>
            <family val="2"/>
          </rPr>
          <t xml:space="preserve"> :Price from Delta</t>
        </r>
      </text>
    </comment>
  </commentList>
</comments>
</file>

<file path=xl/sharedStrings.xml><?xml version="1.0" encoding="utf-8"?>
<sst xmlns="http://schemas.openxmlformats.org/spreadsheetml/2006/main" count="3382" uniqueCount="1078">
  <si>
    <t>1. Enter community name.</t>
  </si>
  <si>
    <t>2. Choose your state from this drop down list.</t>
  </si>
  <si>
    <r>
      <t xml:space="preserve">3. Enter the number of households in your community served by your solid waste program. 
</t>
    </r>
    <r>
      <rPr>
        <i/>
        <sz val="12"/>
        <color theme="2" tint="-0.749992370372631"/>
        <rFont val="News Gothic MT"/>
        <family val="2"/>
      </rPr>
      <t>(See "</t>
    </r>
    <r>
      <rPr>
        <i/>
        <u/>
        <sz val="12"/>
        <color theme="2" tint="-0.749992370372631"/>
        <rFont val="News Gothic MT"/>
        <family val="2"/>
      </rPr>
      <t>Instruction Page</t>
    </r>
    <r>
      <rPr>
        <i/>
        <sz val="12"/>
        <color theme="2" tint="-0.749992370372631"/>
        <rFont val="News Gothic MT"/>
        <family val="2"/>
      </rPr>
      <t>" for more information.)</t>
    </r>
  </si>
  <si>
    <r>
      <t xml:space="preserve">5. Select your community type. </t>
    </r>
    <r>
      <rPr>
        <i/>
        <sz val="12"/>
        <color theme="2" tint="-0.749992370372631"/>
        <rFont val="News Gothic MT"/>
        <family val="2"/>
      </rPr>
      <t>(See "</t>
    </r>
    <r>
      <rPr>
        <i/>
        <u/>
        <sz val="12"/>
        <color theme="2" tint="-0.749992370372631"/>
        <rFont val="News Gothic MT"/>
        <family val="2"/>
      </rPr>
      <t>Instruction Page</t>
    </r>
    <r>
      <rPr>
        <i/>
        <sz val="12"/>
        <color theme="2" tint="-0.749992370372631"/>
        <rFont val="News Gothic MT"/>
        <family val="2"/>
      </rPr>
      <t>" for more information.)</t>
    </r>
  </si>
  <si>
    <t>8. Do you know your landfill tip fee per ton?</t>
  </si>
  <si>
    <r>
      <t xml:space="preserve">If </t>
    </r>
    <r>
      <rPr>
        <b/>
        <i/>
        <sz val="10"/>
        <color rgb="FF009394"/>
        <rFont val="News Gothic MT"/>
        <family val="2"/>
      </rPr>
      <t>'Yes'</t>
    </r>
    <r>
      <rPr>
        <b/>
        <i/>
        <sz val="10"/>
        <color theme="2" tint="-0.749992370372631"/>
        <rFont val="News Gothic MT"/>
        <family val="2"/>
      </rPr>
      <t xml:space="preserve"> enter your Landfill tip fee, per ton here --&gt;</t>
    </r>
  </si>
  <si>
    <t>If you selected 'Yes', be sure that you entered in a dollar amount (i.e. $15.75) for the tip fee.</t>
  </si>
  <si>
    <r>
      <t xml:space="preserve">If </t>
    </r>
    <r>
      <rPr>
        <b/>
        <i/>
        <sz val="10"/>
        <color rgb="FF009394"/>
        <rFont val="News Gothic MT"/>
        <family val="2"/>
      </rPr>
      <t>'Yes'</t>
    </r>
    <r>
      <rPr>
        <b/>
        <i/>
        <sz val="10"/>
        <color theme="2" tint="-0.749992370372631"/>
        <rFont val="News Gothic MT"/>
        <family val="2"/>
      </rPr>
      <t xml:space="preserve"> enter the recycling processor fee, per ton, here (use minus sign if you pay) --&gt;</t>
    </r>
  </si>
  <si>
    <r>
      <t xml:space="preserve">11. Do you know the distance to the Materials Recovery Facility you use or would use to process recyclable materials </t>
    </r>
    <r>
      <rPr>
        <b/>
        <i/>
        <sz val="12"/>
        <color theme="2" tint="-0.749992370372631"/>
        <rFont val="News Gothic MT"/>
        <family val="2"/>
      </rPr>
      <t xml:space="preserve">if </t>
    </r>
    <r>
      <rPr>
        <b/>
        <sz val="12"/>
        <color theme="2" tint="-0.749992370372631"/>
        <rFont val="News Gothic MT"/>
        <family val="2"/>
      </rPr>
      <t>you built a Transfer Station?</t>
    </r>
  </si>
  <si>
    <r>
      <t>If '</t>
    </r>
    <r>
      <rPr>
        <b/>
        <i/>
        <sz val="10"/>
        <color rgb="FF009394"/>
        <rFont val="News Gothic MT"/>
        <family val="2"/>
      </rPr>
      <t>Yes'</t>
    </r>
    <r>
      <rPr>
        <b/>
        <i/>
        <sz val="10"/>
        <color theme="2" tint="-0.749992370372631"/>
        <rFont val="News Gothic MT"/>
        <family val="2"/>
      </rPr>
      <t xml:space="preserve"> enter the One way distance to the MRF here --&gt;</t>
    </r>
  </si>
  <si>
    <t>A value of 75 miles will be used as the default.</t>
  </si>
  <si>
    <t>ISWM COLLECTION OUTPUT FOR:</t>
  </si>
  <si>
    <t>Recycling 
Drop-Off Program</t>
  </si>
  <si>
    <t>Implementing a Dual Stream Program Using Bins</t>
  </si>
  <si>
    <t>Implementing a Dual Stream Program Using Carts</t>
  </si>
  <si>
    <t>Implementing a Single Stream Residential Curbside Program</t>
  </si>
  <si>
    <t>IMPACTS</t>
  </si>
  <si>
    <t>Dual Stream, Bins, Every Other Week Collection</t>
  </si>
  <si>
    <t>Dual Stream, Bins, Weekly Collection</t>
  </si>
  <si>
    <t>Dual Stream, Carts, Every Other Week Collection</t>
  </si>
  <si>
    <t>Dual Stream, Carts, Weekly Collection</t>
  </si>
  <si>
    <t>Single Stream, Carts, Every Other Week Collection</t>
  </si>
  <si>
    <t>Single Stream, Carts, Weekly Collection</t>
  </si>
  <si>
    <t>1. Tons of Recycling per Year</t>
  </si>
  <si>
    <t>2. Pounds of Recycling per Household per Year</t>
  </si>
  <si>
    <t>TOTAL COLLECTION COST</t>
  </si>
  <si>
    <t>3. Annual Net Cost (Total)</t>
  </si>
  <si>
    <t>4. Annual Net Cost (O&amp;M Only)</t>
  </si>
  <si>
    <t>5. Cost per Household per Year</t>
  </si>
  <si>
    <t>6. Cost per Ton Recycled</t>
  </si>
  <si>
    <t>7. Capital Cost (Total)</t>
  </si>
  <si>
    <t>DETAILS</t>
  </si>
  <si>
    <t>8. Total Number of Vehicles (Including back-up and support)</t>
  </si>
  <si>
    <t>9. Total Number of Staff</t>
  </si>
  <si>
    <t>10. Total Number of Drop-Offs</t>
  </si>
  <si>
    <t>-</t>
  </si>
  <si>
    <t>11. Capital Cost Vehicles (Including back-up and support)</t>
  </si>
  <si>
    <t>12. Capital Cost Containers</t>
  </si>
  <si>
    <t>Included below</t>
  </si>
  <si>
    <t>14. Annual Cost for Drop-Off Sites (Total)</t>
  </si>
  <si>
    <t>ISWM HUB &amp; SPOKE OUTPUT FOR:</t>
  </si>
  <si>
    <t>INPUTS</t>
  </si>
  <si>
    <t>Choose Your Program Type (From Collection Model)</t>
  </si>
  <si>
    <t>Tons Diverted per Year (from Model)</t>
  </si>
  <si>
    <t>Build Transfer Station (Spoke)</t>
  </si>
  <si>
    <t>Build Dual Stream MRF (Hub)</t>
  </si>
  <si>
    <t>Build Single Stream MRF (Hub)</t>
  </si>
  <si>
    <t>Recycling Drop-Off Center</t>
  </si>
  <si>
    <t>1. Cost per Ton including Revenue</t>
  </si>
  <si>
    <t>2. Cost per Household per Year</t>
  </si>
  <si>
    <t>N/A</t>
  </si>
  <si>
    <t>ISWM Output for:</t>
  </si>
  <si>
    <t>Implementing or Transitioning to a Single Stream Residential Curbside Program</t>
  </si>
  <si>
    <t>Pounds per Household per Year</t>
  </si>
  <si>
    <t>Annual Cost (Total)</t>
  </si>
  <si>
    <t>Cost per Household per Year (Total HHs)</t>
  </si>
  <si>
    <t>Cost per Household per Month (Participant Only - true up)</t>
  </si>
  <si>
    <t>Cost per Ton Recycled</t>
  </si>
  <si>
    <t>Annual Operating Cost</t>
  </si>
  <si>
    <t>Total Capital Cost</t>
  </si>
  <si>
    <t>CONTAINERS</t>
  </si>
  <si>
    <t>VEHICLES</t>
  </si>
  <si>
    <t>DROP-OFF SITE COST</t>
  </si>
  <si>
    <t>Number of Staff</t>
  </si>
  <si>
    <t>Net Disposal Costs (Savings) per Household</t>
  </si>
  <si>
    <t>RECYCLABLES TRANSFER STATION COSTS</t>
  </si>
  <si>
    <t xml:space="preserve">Total Cost per Ton </t>
  </si>
  <si>
    <t>Total Cost per Household per Year</t>
  </si>
  <si>
    <t>TOTAL COST WITH TRANSFER</t>
  </si>
  <si>
    <t>Cost per Household per Year</t>
  </si>
  <si>
    <t>MRF COSTS</t>
  </si>
  <si>
    <t>TOTAL COST WITH MRF- No Transfer</t>
  </si>
  <si>
    <t>DIRECT HAUL ADDER</t>
  </si>
  <si>
    <t>Total Cost</t>
  </si>
  <si>
    <t>Total Staff Cost</t>
  </si>
  <si>
    <t>ASSUMPTION TABLE</t>
  </si>
  <si>
    <t>Sheet</t>
  </si>
  <si>
    <t>Title</t>
  </si>
  <si>
    <t>Number</t>
  </si>
  <si>
    <t>Details</t>
  </si>
  <si>
    <t>Source</t>
  </si>
  <si>
    <t>Container Costs</t>
  </si>
  <si>
    <t>Cart Purchase Cost</t>
  </si>
  <si>
    <t>Average cart price</t>
  </si>
  <si>
    <t>RRS</t>
  </si>
  <si>
    <t>Best guess</t>
  </si>
  <si>
    <t>No</t>
  </si>
  <si>
    <t>Bin Purchase Cost</t>
  </si>
  <si>
    <t>Average bin price</t>
  </si>
  <si>
    <t>Inventory / Back up</t>
  </si>
  <si>
    <t>% inventory needed for back up, new sign ups, replacements, etc.</t>
  </si>
  <si>
    <t>Juri</t>
  </si>
  <si>
    <t>Cart Replacement SS</t>
  </si>
  <si>
    <t>% of carts lost or stolen per year</t>
  </si>
  <si>
    <t>Estimate of the % of carts lost or stolen per year</t>
  </si>
  <si>
    <t>Bin Replacement</t>
  </si>
  <si>
    <t xml:space="preserve"> % of bins lost or stolen per year</t>
  </si>
  <si>
    <t>Cart Replacement DS</t>
  </si>
  <si>
    <t xml:space="preserve"> % of carts lost or stolen per year</t>
  </si>
  <si>
    <t>Delivery Cost / Cart</t>
  </si>
  <si>
    <t>Cart manufacturer quote to assemble / deliver for a large City, increased by 33% for smaller communities / contracts</t>
  </si>
  <si>
    <t>Denver</t>
  </si>
  <si>
    <t>This is what Rehrig quoted City of Denver to assemble / deliver, increased by 33% for smaller communities / contracts</t>
  </si>
  <si>
    <t>Delivery Cost / Bin</t>
  </si>
  <si>
    <t>Bin delivery cost -no assembly, higher volume per load</t>
  </si>
  <si>
    <t>Assume delivery cost much cheaper for bins</t>
  </si>
  <si>
    <t>Cart Maintenance / HH / year</t>
  </si>
  <si>
    <t>Based on large community data</t>
  </si>
  <si>
    <t>Bin Maintenance / HH / year</t>
  </si>
  <si>
    <t>Assume replacement, not maintenance</t>
  </si>
  <si>
    <t>Assume replacement, not maintance</t>
  </si>
  <si>
    <t>Outreach / HH / Year</t>
  </si>
  <si>
    <t>Assume 1 to 2 mailers per year</t>
  </si>
  <si>
    <t>DropDowns_LookUps</t>
  </si>
  <si>
    <t>Glass Discount</t>
  </si>
  <si>
    <t>Discounts the Lbs. per HH by % to account for the removal of glass from the stream</t>
  </si>
  <si>
    <t>Discounts the Lbs per HH by % to account for the reomval of glass from the stream</t>
  </si>
  <si>
    <t>Transportation Costs</t>
  </si>
  <si>
    <t>RT Miles to processing</t>
  </si>
  <si>
    <t>Based on Matt Todd/ David Stead estimates</t>
  </si>
  <si>
    <t>Payback Period (Years)</t>
  </si>
  <si>
    <t>Assume 7 year payback, 12 payments per year, use same payback for carts and trucks</t>
  </si>
  <si>
    <t>Interest rate</t>
  </si>
  <si>
    <t>Average</t>
  </si>
  <si>
    <t>Truck Costs</t>
  </si>
  <si>
    <t>Point at which you need to buy another truck</t>
  </si>
  <si>
    <t xml:space="preserve">If there number of routes is greater than X.39 (i.e. you need 2.4 routes, or 2.5 routes to service the HHs) it rounds up to 3 </t>
  </si>
  <si>
    <t>Point at which back up truck needed</t>
  </si>
  <si>
    <t xml:space="preserve">For every X number of trucks, one back up is needed </t>
  </si>
  <si>
    <t>Cost for drop-off truck - delivered, commissioned</t>
  </si>
  <si>
    <t>Split Body Manual Truck</t>
  </si>
  <si>
    <t>Cost for rear load split body manual truck- all bin collections - delivered, commissioned</t>
  </si>
  <si>
    <t>Western Disposal</t>
  </si>
  <si>
    <t>Fully auto side load</t>
  </si>
  <si>
    <t>Cost for fully auto side load- delivered, commissioned</t>
  </si>
  <si>
    <t xml:space="preserve">Truck fees / insurance </t>
  </si>
  <si>
    <t>Cost per truck per year</t>
  </si>
  <si>
    <t>Maintenance / Fuel / Fleet</t>
  </si>
  <si>
    <t>Staff Costs</t>
  </si>
  <si>
    <t>Equipment Operator Annual fully loaded</t>
  </si>
  <si>
    <t>Assume consistent across states</t>
  </si>
  <si>
    <t>BLS</t>
  </si>
  <si>
    <t>See Transfer MRF Assumptions sheet, David Stead, this is close to what Denver uses ($60K)</t>
  </si>
  <si>
    <t>Yes</t>
  </si>
  <si>
    <t>Supervisor Fully Loaded</t>
  </si>
  <si>
    <t>See Transfer MRF Assumptions sheet</t>
  </si>
  <si>
    <t>Cart Maintenance Tech</t>
  </si>
  <si>
    <t>Best guess - only inlcude a cart maint. Tech for larger communities / more carts</t>
  </si>
  <si>
    <t>Cost of pick-up Truck</t>
  </si>
  <si>
    <t>Average cost, delivered</t>
  </si>
  <si>
    <t>Web research</t>
  </si>
  <si>
    <t>Cost of flat bed truck</t>
  </si>
  <si>
    <t>Recent survey - online data</t>
  </si>
  <si>
    <t>AAA</t>
  </si>
  <si>
    <t>Flat Bed Maint/ Fuel / Fleet</t>
  </si>
  <si>
    <t>Based on pickup costs</t>
  </si>
  <si>
    <t>Contingency on O&amp;M</t>
  </si>
  <si>
    <t>Added in to collection costs and Staff costs</t>
  </si>
  <si>
    <t>Increase in MRF Revenue per ton without glass</t>
  </si>
  <si>
    <t>Increases MRF Revenue per ton by % to account for the removal of glass</t>
  </si>
  <si>
    <t xml:space="preserve">Disposal Costs Revenue </t>
  </si>
  <si>
    <t>Average Number Miles to Recycler (RT) - 2.5 trips per day</t>
  </si>
  <si>
    <t>Assume these are miles added on at end of route day to processor / transfer operation, must do 2.5 trips b/c high recycling rate</t>
  </si>
  <si>
    <t>Average Number Miles to Recycler (RT) - One trip per day</t>
  </si>
  <si>
    <t>Assume these are miles added on at end of route day to processor / transfer operation</t>
  </si>
  <si>
    <t>Average Number Miles to Disposal (RT)</t>
  </si>
  <si>
    <t>Fuel Cost</t>
  </si>
  <si>
    <t>Average in US</t>
  </si>
  <si>
    <t>US EIA</t>
  </si>
  <si>
    <t>Miles per Gallon</t>
  </si>
  <si>
    <t>Average for collection</t>
  </si>
  <si>
    <t>This is the average</t>
  </si>
  <si>
    <t>Drop OFF Site Requirement</t>
  </si>
  <si>
    <t>Based on Data from regional Drop Off Systems</t>
  </si>
  <si>
    <t>Roll Off Costs</t>
  </si>
  <si>
    <t>Roll off Capacity (CY)</t>
  </si>
  <si>
    <t>Roll off Utilization Factor</t>
  </si>
  <si>
    <t>Roll off Density (lbs./CY)</t>
  </si>
  <si>
    <t>30 Yd. Container Roll off Purchase Cost</t>
  </si>
  <si>
    <t>State Drop Down</t>
  </si>
  <si>
    <t>Estimated participation</t>
  </si>
  <si>
    <t>Density Drop Down</t>
  </si>
  <si>
    <t>Pounds per HH</t>
  </si>
  <si>
    <t>Glass in Single Stream</t>
  </si>
  <si>
    <t>Do you know tip fee</t>
  </si>
  <si>
    <t>MRF revenue</t>
  </si>
  <si>
    <t>Choose Your Program (Transfer Output)</t>
  </si>
  <si>
    <t xml:space="preserve">High participation </t>
  </si>
  <si>
    <t>Urban</t>
  </si>
  <si>
    <t>High (Containers are always full, only choose if you have PAYT, embedded recycling fees, or other similar advanced programs)</t>
  </si>
  <si>
    <t>Yes (Default)</t>
  </si>
  <si>
    <t>Medium high participation</t>
  </si>
  <si>
    <t>Urban / Suburban</t>
  </si>
  <si>
    <t>Medium high (Containers more than half full, Communities with strong recycling programs)</t>
  </si>
  <si>
    <t xml:space="preserve">No </t>
  </si>
  <si>
    <t>No (model will use default)</t>
  </si>
  <si>
    <t>16 - 30 miles (one way)</t>
  </si>
  <si>
    <t>Medium participation (Default)</t>
  </si>
  <si>
    <t>Suburban (Default)</t>
  </si>
  <si>
    <t>Medium low (Containers about half full, Default setting)</t>
  </si>
  <si>
    <t>31 - 45 miles (one way)</t>
  </si>
  <si>
    <t>Illinois</t>
  </si>
  <si>
    <t>Medium low</t>
  </si>
  <si>
    <t>Rural / Suburban</t>
  </si>
  <si>
    <t>Low (Containers are less than half full, Choose if residents are unfamiliar with recycling programs)</t>
  </si>
  <si>
    <t>46 - 60 miles (one way)</t>
  </si>
  <si>
    <t>Indiana</t>
  </si>
  <si>
    <t>Low</t>
  </si>
  <si>
    <t xml:space="preserve">Rural  </t>
  </si>
  <si>
    <t>61 - 75 miles (one way)</t>
  </si>
  <si>
    <t>76 - 90 miles (one way)</t>
  </si>
  <si>
    <t>Michigan</t>
  </si>
  <si>
    <t>More than 90 miles (one way)</t>
  </si>
  <si>
    <t>Minnesota</t>
  </si>
  <si>
    <t>Ohio</t>
  </si>
  <si>
    <t>Wisconsin</t>
  </si>
  <si>
    <t>Participation Look up</t>
  </si>
  <si>
    <t>Choice</t>
  </si>
  <si>
    <t>Dual Stream Bins EOW</t>
  </si>
  <si>
    <t>Dual Stream Bins Weekly</t>
  </si>
  <si>
    <t>Dual Stream Carts EOW</t>
  </si>
  <si>
    <t>Dual Stream Carts Weekly</t>
  </si>
  <si>
    <t>SS Carts EOW</t>
  </si>
  <si>
    <t>SS Carts Weekly</t>
  </si>
  <si>
    <t>Drop Off</t>
  </si>
  <si>
    <t>Yes or No (for Cart Costs)</t>
  </si>
  <si>
    <t>Density (HHs/Route) Look up</t>
  </si>
  <si>
    <t>Drop Off (HH/Drop Off)</t>
  </si>
  <si>
    <t>Manual Bins</t>
  </si>
  <si>
    <t xml:space="preserve">Semi Auto </t>
  </si>
  <si>
    <t>Fully Auto</t>
  </si>
  <si>
    <t>HH within 15 minutes</t>
  </si>
  <si>
    <t>Drop Off Density</t>
  </si>
  <si>
    <t>Container Lifts per Week</t>
  </si>
  <si>
    <t>Container Lifts per Day</t>
  </si>
  <si>
    <t>Container Lifts per Truck per Day</t>
  </si>
  <si>
    <t>Distance fom Dropoff to Transfer</t>
  </si>
  <si>
    <t>State Look Up Table</t>
  </si>
  <si>
    <t>Tip Fee LF</t>
  </si>
  <si>
    <t>MRF Rev DS</t>
  </si>
  <si>
    <t>MRF Rev SS</t>
  </si>
  <si>
    <t>Lbs Trash / Person / Year</t>
  </si>
  <si>
    <t>Avg HH Size</t>
  </si>
  <si>
    <t>Reduction Factor</t>
  </si>
  <si>
    <t>DS Bins EOW Alternate</t>
  </si>
  <si>
    <t>DS Bins Weekly</t>
  </si>
  <si>
    <t>DS Carts EOW Alternate</t>
  </si>
  <si>
    <t>DS Carts Weekly</t>
  </si>
  <si>
    <t>Glass Look Up</t>
  </si>
  <si>
    <t>Yes or No</t>
  </si>
  <si>
    <t>Change in MRF Rev</t>
  </si>
  <si>
    <t>&lt;-- These numbers on in the assumption table</t>
  </si>
  <si>
    <t>Landfill Tip Fee Choices</t>
  </si>
  <si>
    <t>Choice--&gt;</t>
  </si>
  <si>
    <t>EREF 2019</t>
  </si>
  <si>
    <t>Multiplier</t>
  </si>
  <si>
    <t>TONNAGE IMPACTS</t>
  </si>
  <si>
    <t>Step</t>
  </si>
  <si>
    <t>Drop-Off</t>
  </si>
  <si>
    <t>Collections / Year</t>
  </si>
  <si>
    <t>Hard #</t>
  </si>
  <si>
    <t>Number of HHs</t>
  </si>
  <si>
    <t>Input</t>
  </si>
  <si>
    <t>Calc</t>
  </si>
  <si>
    <t>Lookup</t>
  </si>
  <si>
    <t>Trash lbs / Person / Year</t>
  </si>
  <si>
    <t>OUTPUTS</t>
  </si>
  <si>
    <t>Tons Trash / Year</t>
  </si>
  <si>
    <t>TrueUp</t>
  </si>
  <si>
    <t>CONTAINER  / EDUCATION COSTS</t>
  </si>
  <si>
    <t>Recycling Drop-Off</t>
  </si>
  <si>
    <t>Opt in Or Out</t>
  </si>
  <si>
    <t>Number of HH (Dropoff # of Rolloffs)</t>
  </si>
  <si>
    <t>Inventory / Back up Stock</t>
  </si>
  <si>
    <t>Assumption Tables</t>
  </si>
  <si>
    <t>Cost per Container</t>
  </si>
  <si>
    <t>Dual stream multiplier</t>
  </si>
  <si>
    <t>Hard number</t>
  </si>
  <si>
    <t>Initial Capital Cost</t>
  </si>
  <si>
    <t>Annual Loan Payment</t>
  </si>
  <si>
    <t>Calc (includes interest)</t>
  </si>
  <si>
    <t>Total Cart Cost</t>
  </si>
  <si>
    <t xml:space="preserve">Anunal Replacement Cost </t>
  </si>
  <si>
    <t>Delivery Cost</t>
  </si>
  <si>
    <t>Maintenance Cost</t>
  </si>
  <si>
    <t>Education Costs</t>
  </si>
  <si>
    <t>Year One Cost (delivery / education)</t>
  </si>
  <si>
    <t>On-going Cost (Replace and Repair)</t>
  </si>
  <si>
    <t>TRUCK COSTS</t>
  </si>
  <si>
    <t>Number of stops / week</t>
  </si>
  <si>
    <t>Route Density (stops)</t>
  </si>
  <si>
    <t>Multiplier for Direct Haul</t>
  </si>
  <si>
    <t>Number of Routes</t>
  </si>
  <si>
    <t>Number of Trucks for Routes</t>
  </si>
  <si>
    <t>Calc / Assumption</t>
  </si>
  <si>
    <t>Number of Back up Trucks</t>
  </si>
  <si>
    <t>Total Number of Trucks</t>
  </si>
  <si>
    <t>Cost per Truck - Capital</t>
  </si>
  <si>
    <t>Assumption</t>
  </si>
  <si>
    <t>Total initial capital Trucks</t>
  </si>
  <si>
    <t>Annual loan payment</t>
  </si>
  <si>
    <t>Total Capital including interest</t>
  </si>
  <si>
    <t>Contingency (O&amp;M, Truck Fees)</t>
  </si>
  <si>
    <t>Number of Pickup Trucks - Supervisor</t>
  </si>
  <si>
    <t>Total initial capital Pickup Trucks</t>
  </si>
  <si>
    <t>Pickup Annual loan payment</t>
  </si>
  <si>
    <t>Pick up Total Capital including interest</t>
  </si>
  <si>
    <t>Pickup Truck Operating Costs</t>
  </si>
  <si>
    <t xml:space="preserve">Number of Cart Delivery Trucks </t>
  </si>
  <si>
    <t>Total initial capital Flatbed Trucks</t>
  </si>
  <si>
    <t>Flatbed Annual loan payment</t>
  </si>
  <si>
    <t>Flatbed Total Capital including interest</t>
  </si>
  <si>
    <t>Flatbed Truck Operating Costs</t>
  </si>
  <si>
    <t>Total No. of Vehicles (incl. back-up and support)</t>
  </si>
  <si>
    <t>ADDITIONAL COSTS</t>
  </si>
  <si>
    <t>CATEGORIES</t>
  </si>
  <si>
    <t>Drop-Off
Per Facility</t>
  </si>
  <si>
    <t>Total Tonnage (US Tons)</t>
  </si>
  <si>
    <t>Truckloads per year</t>
  </si>
  <si>
    <t>Trucks per Day</t>
  </si>
  <si>
    <t>Number of Sites</t>
  </si>
  <si>
    <t>Transfer Capital</t>
  </si>
  <si>
    <t>Equipment</t>
  </si>
  <si>
    <t>Compactors</t>
  </si>
  <si>
    <t>Scale</t>
  </si>
  <si>
    <t>Main Baler(s)</t>
  </si>
  <si>
    <t>Sorting Equipment, Bins, Bunkers, Conveyors</t>
  </si>
  <si>
    <t>Equipment Total</t>
  </si>
  <si>
    <t>Rolling Stock</t>
  </si>
  <si>
    <t>Loaders &amp; Forklift &amp; Yard Tractor</t>
  </si>
  <si>
    <t>Trailers and Rolloffs</t>
  </si>
  <si>
    <t>Rolling Stock Total</t>
  </si>
  <si>
    <t>Building Capital</t>
  </si>
  <si>
    <t>Site Size (acres)</t>
  </si>
  <si>
    <t>Assumed Size  (Sq. feet)</t>
  </si>
  <si>
    <t>Cost per  sq feet</t>
  </si>
  <si>
    <t>Building Cost Total</t>
  </si>
  <si>
    <t>Site and Land Capital  Cost</t>
  </si>
  <si>
    <t>Transfer Capital Total</t>
  </si>
  <si>
    <t>Drop Off Site Capital</t>
  </si>
  <si>
    <t>Number of Drop Off Sites</t>
  </si>
  <si>
    <t>Site Development Costs</t>
  </si>
  <si>
    <t>Drop Off Site Capital Total</t>
  </si>
  <si>
    <t>Drop Off Site Annual Capital Cost</t>
  </si>
  <si>
    <t>Annual Capital Costs</t>
  </si>
  <si>
    <t>Building Cost</t>
  </si>
  <si>
    <t>Site Cost</t>
  </si>
  <si>
    <t>Separation &amp; Baling Equipment</t>
  </si>
  <si>
    <t>Total Annual Capital Cost</t>
  </si>
  <si>
    <t>Number of Employees</t>
  </si>
  <si>
    <t>Sorter</t>
  </si>
  <si>
    <t>Driver</t>
  </si>
  <si>
    <t>Equipment Operator</t>
  </si>
  <si>
    <t>Maintenance</t>
  </si>
  <si>
    <t>Scale/Clerical</t>
  </si>
  <si>
    <t>Management, Clerical &amp; Scale</t>
  </si>
  <si>
    <t>Annual Labor Cost (includes Fringe Benefits)</t>
  </si>
  <si>
    <t>Residual Disposal Costs</t>
  </si>
  <si>
    <t>Annual Building O&amp;M Costs</t>
  </si>
  <si>
    <t>Building Insurance Costs</t>
  </si>
  <si>
    <t>Taxes</t>
  </si>
  <si>
    <t>Annual Processing O&amp;M Costs</t>
  </si>
  <si>
    <t>Total O&amp;M Costs</t>
  </si>
  <si>
    <t>Total Capital and Operating Cost</t>
  </si>
  <si>
    <t>Management  Allowance 
(5% of Operating Total)</t>
  </si>
  <si>
    <t>Total Annual Facility Costs</t>
  </si>
  <si>
    <t>Total Facility Cost per Ton</t>
  </si>
  <si>
    <t>Total Facility Cost per HH</t>
  </si>
  <si>
    <t>Number of Drop-Offs</t>
  </si>
  <si>
    <t xml:space="preserve">Annual Total Operations &amp; Maintenance Cost </t>
  </si>
  <si>
    <t xml:space="preserve">Annual Total Cost </t>
  </si>
  <si>
    <t xml:space="preserve">Annual Total Cost per Site </t>
  </si>
  <si>
    <t>STAFF COSTS</t>
  </si>
  <si>
    <t>Number of Trucks</t>
  </si>
  <si>
    <t>Number of Staff per truck</t>
  </si>
  <si>
    <t>Hard Number</t>
  </si>
  <si>
    <t>Number EO Staff</t>
  </si>
  <si>
    <t>Number of Supervisors</t>
  </si>
  <si>
    <t>Number of Carts / Containers</t>
  </si>
  <si>
    <t>Cart Maintenance / Delivery</t>
  </si>
  <si>
    <t>Annual rate Equipment Operator</t>
  </si>
  <si>
    <t>Annual rate Supervisor</t>
  </si>
  <si>
    <t>Annual Rate Cart Tech</t>
  </si>
  <si>
    <t>Contingency on Operations</t>
  </si>
  <si>
    <t>Total Labor Cost (Annual)</t>
  </si>
  <si>
    <t>Number of Equipment Operators / Maint. Techs</t>
  </si>
  <si>
    <t xml:space="preserve">Number of Supervisors </t>
  </si>
  <si>
    <t>Residuals Percentage</t>
  </si>
  <si>
    <t>Residuals Disposal</t>
  </si>
  <si>
    <t>Trash Savings</t>
  </si>
  <si>
    <t>Annual Disposal Savings</t>
  </si>
  <si>
    <t>ASSUMPTIONS</t>
  </si>
  <si>
    <t>Wages</t>
  </si>
  <si>
    <t>Hourly</t>
  </si>
  <si>
    <t>Annual</t>
  </si>
  <si>
    <t>Fringes</t>
  </si>
  <si>
    <t xml:space="preserve">
Total</t>
  </si>
  <si>
    <t>SOC</t>
  </si>
  <si>
    <t>51-9199</t>
  </si>
  <si>
    <t>Median</t>
  </si>
  <si>
    <t>Semi Tractor Driver</t>
  </si>
  <si>
    <t>53-3032</t>
  </si>
  <si>
    <t>53-7051</t>
  </si>
  <si>
    <t>49-9043</t>
  </si>
  <si>
    <t>Scale &amp; Clerical</t>
  </si>
  <si>
    <t>43-9199</t>
  </si>
  <si>
    <t>Management</t>
  </si>
  <si>
    <t>11-3051</t>
  </si>
  <si>
    <t>25th percentile</t>
  </si>
  <si>
    <t>Supervisor</t>
  </si>
  <si>
    <t>51-1011</t>
  </si>
  <si>
    <t>Benefits/Fringes</t>
  </si>
  <si>
    <t>Interest Rate</t>
  </si>
  <si>
    <t>Tax Rate</t>
  </si>
  <si>
    <t>Site and Land Cost per acre</t>
  </si>
  <si>
    <t>Land Cost</t>
  </si>
  <si>
    <t>Building Costs</t>
  </si>
  <si>
    <t>Processing Costs</t>
  </si>
  <si>
    <t>Assumption for trucks</t>
  </si>
  <si>
    <t>Forklift</t>
  </si>
  <si>
    <t>Workdays per Year</t>
  </si>
  <si>
    <t>TRANSFER STATION COST ASSUMPTIONS</t>
  </si>
  <si>
    <t>Assumptions</t>
  </si>
  <si>
    <t>Small Transfer</t>
  </si>
  <si>
    <t>Medium Transfer</t>
  </si>
  <si>
    <t>Large Transfer</t>
  </si>
  <si>
    <t>Total Tons Upper Limit</t>
  </si>
  <si>
    <t>Capital</t>
  </si>
  <si>
    <t xml:space="preserve"> Equipment Total</t>
  </si>
  <si>
    <t>Total Capital</t>
  </si>
  <si>
    <t>Management  Allowance 
(20% of Operating Total)</t>
  </si>
  <si>
    <t>Total Facility Costs</t>
  </si>
  <si>
    <t>MRF COST ASSUMPTIONS</t>
  </si>
  <si>
    <t>Revenue Share</t>
  </si>
  <si>
    <t>MRF #</t>
  </si>
  <si>
    <t>Tons/Year</t>
  </si>
  <si>
    <t>Cost/Ton</t>
  </si>
  <si>
    <t>Revenue</t>
  </si>
  <si>
    <t>Net Revenue</t>
  </si>
  <si>
    <t>DS Small 
MRF</t>
  </si>
  <si>
    <t>DS Small MRF 2-Shift</t>
  </si>
  <si>
    <t>DS Medium MRF</t>
  </si>
  <si>
    <t>DS Medium MRF 2-Shift</t>
  </si>
  <si>
    <t>SS Small MRF</t>
  </si>
  <si>
    <t>SS Small MRF 2-Shift</t>
  </si>
  <si>
    <t xml:space="preserve">SS Intermed 
MRF </t>
  </si>
  <si>
    <t>SS Intermed MRF 2-Shift</t>
  </si>
  <si>
    <t>SS Medium MRF</t>
  </si>
  <si>
    <t>SS Medium MRF 2-Shift</t>
  </si>
  <si>
    <t>SS Large MRF</t>
  </si>
  <si>
    <t>SS Large MRF
2-Shift</t>
  </si>
  <si>
    <t>Avg Small DS MRF</t>
  </si>
  <si>
    <t>Avg Medium DS MRF</t>
  </si>
  <si>
    <t>Avg Small SS MRF</t>
  </si>
  <si>
    <t>Avg Intermediate SS MRF</t>
  </si>
  <si>
    <t>Avg Medium SS MRF</t>
  </si>
  <si>
    <t>Avg Large SS MRF</t>
  </si>
  <si>
    <t>Tph</t>
  </si>
  <si>
    <t>Annual Tons 
(1-shift)</t>
  </si>
  <si>
    <t>Annual Tons 
(2-shift)</t>
  </si>
  <si>
    <t>ISWM TRANSFER OUTPUT FOR:</t>
  </si>
  <si>
    <t>Recycling Drop-Off Program</t>
  </si>
  <si>
    <t>3. Capital Cost (Total)</t>
  </si>
  <si>
    <t>4. Total Annual Capital Cost</t>
  </si>
  <si>
    <t>7. Annual Cost (Total)</t>
  </si>
  <si>
    <t>8. Cost per Household per Year</t>
  </si>
  <si>
    <t>9. Cost per Ton Recycled</t>
  </si>
  <si>
    <t>Transfer Miles</t>
  </si>
  <si>
    <t>Cost per Ton per Mile</t>
  </si>
  <si>
    <t>Transfer Trucking Cost</t>
  </si>
  <si>
    <t>Transfer Cost per Ton</t>
  </si>
  <si>
    <t>Transfer Cost per HH</t>
  </si>
  <si>
    <t>Total Transfer Cost per Ton</t>
  </si>
  <si>
    <t>Total Transfer Cost per HH</t>
  </si>
  <si>
    <t>Thrid Party MRF Cost</t>
  </si>
  <si>
    <t>Residual Disposal Cost per Ton</t>
  </si>
  <si>
    <t>Annual Cost (Capital + Operating)</t>
  </si>
  <si>
    <t>MRF Revenue per Ton (ACR)</t>
  </si>
  <si>
    <t>NET Cost per ton</t>
  </si>
  <si>
    <t>Net Cost per HH</t>
  </si>
  <si>
    <r>
      <t>15 miles or less (one way)</t>
    </r>
    <r>
      <rPr>
        <i/>
        <sz val="10"/>
        <color theme="1"/>
        <rFont val="Arial Narrow"/>
        <family val="2"/>
      </rPr>
      <t xml:space="preserve"> (default)</t>
    </r>
  </si>
  <si>
    <t>10. How far is it from your municipality to the Transfer Station, MRF, or other end destination for a direct haul by your curbside recycling collection trucks?</t>
  </si>
  <si>
    <t>Tons of Recycling/Organics per Year</t>
  </si>
  <si>
    <t>Tons of Recycling/Organics per Week</t>
  </si>
  <si>
    <t>MRF/COMPOST SITE COSTS</t>
  </si>
  <si>
    <t>Organics Tip Fee</t>
  </si>
  <si>
    <t>Compost Revenue</t>
  </si>
  <si>
    <t>Food waste in organics</t>
  </si>
  <si>
    <r>
      <t xml:space="preserve">If </t>
    </r>
    <r>
      <rPr>
        <b/>
        <i/>
        <sz val="10"/>
        <color rgb="FF009394"/>
        <rFont val="News Gothic MT"/>
        <family val="2"/>
      </rPr>
      <t>'Yes'</t>
    </r>
    <r>
      <rPr>
        <b/>
        <i/>
        <sz val="10"/>
        <color theme="2" tint="-0.749992370372631"/>
        <rFont val="News Gothic MT"/>
        <family val="2"/>
      </rPr>
      <t xml:space="preserve"> enter the organics processor fee, per ton, here (use minus sign if you pay) --&gt;</t>
    </r>
  </si>
  <si>
    <t xml:space="preserve">Diversion rate (recycling only) </t>
  </si>
  <si>
    <t>x</t>
  </si>
  <si>
    <t>EREF 2020</t>
  </si>
  <si>
    <t>YW- ASP</t>
  </si>
  <si>
    <t>YW- Windrow</t>
  </si>
  <si>
    <t>YW+FW- ASP</t>
  </si>
  <si>
    <t>YW+FW- Windrow</t>
  </si>
  <si>
    <t xml:space="preserve">Build ASP Compost Site (Hub) </t>
  </si>
  <si>
    <t xml:space="preserve">Build Windrow Compost Site (Hub) </t>
  </si>
  <si>
    <t>Organics Drop-Off</t>
  </si>
  <si>
    <t>Participation</t>
  </si>
  <si>
    <t>Tons (Recycling or Organics) / Year</t>
  </si>
  <si>
    <t>Recycling or Organics Lbs per HH / Collection</t>
  </si>
  <si>
    <t xml:space="preserve">Participating HHs </t>
  </si>
  <si>
    <t>?</t>
  </si>
  <si>
    <t>n/a</t>
  </si>
  <si>
    <t>Number of Route/Days</t>
  </si>
  <si>
    <t>StaffingCosts</t>
  </si>
  <si>
    <t>TonnageImpacts</t>
  </si>
  <si>
    <t>TruckCosts</t>
  </si>
  <si>
    <t>Tons Composted</t>
  </si>
  <si>
    <t>Tons of Recycle /Year</t>
  </si>
  <si>
    <t>Landfill Tip fee /Ton</t>
  </si>
  <si>
    <t>*HH note: row 17 values are not referenced anywhere in this workbook</t>
  </si>
  <si>
    <t>% YW in MSW</t>
  </si>
  <si>
    <t>% FW in MSW</t>
  </si>
  <si>
    <t>EPA</t>
  </si>
  <si>
    <t>https://www.epa.gov/facts-and-figures-about-materials-waste-and-recycling/national-overview-facts-and-figures-materials#Generation</t>
  </si>
  <si>
    <t>Number previously listed in model</t>
  </si>
  <si>
    <t>Mixed YW Uncompacted Density</t>
  </si>
  <si>
    <t>lbs/gallon</t>
  </si>
  <si>
    <t>https://www.epa.gov/sites/default/files/2016-04/documents/volume_to_weight_conversion_factors_memorandum_04192016_508fnl.pdf</t>
  </si>
  <si>
    <t>FW density</t>
  </si>
  <si>
    <t>% FW in Organics Cart</t>
  </si>
  <si>
    <t>gallon</t>
  </si>
  <si>
    <t>Cart Size</t>
  </si>
  <si>
    <t>Input/Lookup</t>
  </si>
  <si>
    <t>Weekly Yard Waste, ASP System</t>
  </si>
  <si>
    <t>Weekly Yard Waste, Windrow System</t>
  </si>
  <si>
    <t>Weekly Yard &amp; Food Waste, ASP System</t>
  </si>
  <si>
    <t>Weekly Yard &amp; Food Waste, Windrow System</t>
  </si>
  <si>
    <t>Updated/Reviewed in 2022</t>
  </si>
  <si>
    <t>Estimate of the % of bins lost or stolen per year</t>
  </si>
  <si>
    <t>Not used</t>
  </si>
  <si>
    <t>How far it the Recycling Facility  from your municipality?</t>
  </si>
  <si>
    <t>Build ASP Compost Site (Hub)</t>
  </si>
  <si>
    <t>Build Windrow Compost Site (Hub)</t>
  </si>
  <si>
    <t>https://www.trashtrucksonline.com/</t>
  </si>
  <si>
    <t>Cost per truck from TRP EPR Model Cking</t>
  </si>
  <si>
    <t>May 2020 National Occupational Employment and Wage Estimates</t>
  </si>
  <si>
    <t>Number of HH per Drop Off site</t>
  </si>
  <si>
    <t>https://www.aaa.com/autorepair/articles/average-annual-cost-of-new-vehicle-ownership</t>
  </si>
  <si>
    <t>Pick up Maint / Fuel / Fleet</t>
  </si>
  <si>
    <t>2021 Diesel Average in US</t>
  </si>
  <si>
    <t>ebay</t>
  </si>
  <si>
    <t>Tons</t>
  </si>
  <si>
    <t>TPH</t>
  </si>
  <si>
    <t>Capital Cost</t>
  </si>
  <si>
    <t>Operating Cost</t>
  </si>
  <si>
    <t>Total</t>
  </si>
  <si>
    <t>Distance (miles)</t>
  </si>
  <si>
    <t>Avg. Speed Off Route (mph)</t>
  </si>
  <si>
    <t>Shift Hours</t>
  </si>
  <si>
    <t>Hours Off Route</t>
  </si>
  <si>
    <t>Hours On Route</t>
  </si>
  <si>
    <t>Density (HHs/Route) Muliplier for Time Off Route</t>
  </si>
  <si>
    <t>Total Tonnage</t>
  </si>
  <si>
    <t>Transfer Tons Per Truckload</t>
  </si>
  <si>
    <t>Building</t>
  </si>
  <si>
    <t>Building Total</t>
  </si>
  <si>
    <t>Transfer</t>
  </si>
  <si>
    <t>Loading and Wait Time (hours)</t>
  </si>
  <si>
    <t>Work hours per Year</t>
  </si>
  <si>
    <t>MRF</t>
  </si>
  <si>
    <t>Small MRF</t>
  </si>
  <si>
    <t>Medium MRF</t>
  </si>
  <si>
    <t>Large MRF</t>
  </si>
  <si>
    <t>Total Tons Lower Limit</t>
  </si>
  <si>
    <t>Travel time (hours)</t>
  </si>
  <si>
    <t>Trip Time (hours)</t>
  </si>
  <si>
    <t>Building &amp; Site Maintenance Costs (per SF)</t>
  </si>
  <si>
    <t>Building utilities (per SF)</t>
  </si>
  <si>
    <t>Insurance (per ton)</t>
  </si>
  <si>
    <t>Fuel Costs</t>
  </si>
  <si>
    <t>Management Allowance</t>
  </si>
  <si>
    <t>Building Cost per SF</t>
  </si>
  <si>
    <t>Building/Site</t>
  </si>
  <si>
    <t>Haul Cost Transfer Trailer (per hour)</t>
  </si>
  <si>
    <t>One-Way Trip Long Haul to MRF (miles)</t>
  </si>
  <si>
    <t>Skidsteer with Grapple</t>
  </si>
  <si>
    <t>Small Loader</t>
  </si>
  <si>
    <t>Large Loader</t>
  </si>
  <si>
    <t>Yard Mule</t>
  </si>
  <si>
    <t>MRF Maintenance Cost (per ton)</t>
  </si>
  <si>
    <t>Transfer Maintenance Cost (per ton)</t>
  </si>
  <si>
    <t>Forklift Propane Usage (gallon/hour)</t>
  </si>
  <si>
    <t>https://www.toyotaforklift.com/resource-library/material-handling-solutions/parts-services/forklift-fuel-consumption-efficiency</t>
  </si>
  <si>
    <t>Propane (per gallon)</t>
  </si>
  <si>
    <t>https://www.eia.gov/dnav/pet/pet_pri_wfr_a_EPLLPA_PRS_dpgal_w.htm</t>
  </si>
  <si>
    <t>Loader Diesel Usage (gallon/hour)</t>
  </si>
  <si>
    <t>https://static1.squarespace.com/static/58877529414fb5283ed14a6b/t/5888f8acbebafbea448f7094/1485371564893/Fuel+Table+-+Loaders.pdf</t>
  </si>
  <si>
    <t>Diesel fuel (per gallon)</t>
  </si>
  <si>
    <t>https://www.eia.gov/petroleum/gasdiesel/</t>
  </si>
  <si>
    <t>Electricity (cents/kwh)</t>
  </si>
  <si>
    <t>https://www.eia.gov/electricity/annual/html/epa_01_02.html</t>
  </si>
  <si>
    <t>Electricity Usage (kwh/ton)</t>
  </si>
  <si>
    <t>X</t>
  </si>
  <si>
    <t>Site Work</t>
  </si>
  <si>
    <t>Site Work (per acre)</t>
  </si>
  <si>
    <t>Building Size (SF)</t>
  </si>
  <si>
    <t>Site and Land</t>
  </si>
  <si>
    <t>Site and Land Total</t>
  </si>
  <si>
    <t>Electrical, Plumbing, HVAC, Fire</t>
  </si>
  <si>
    <t>Loaders, Forklifts, Yard Tractors</t>
  </si>
  <si>
    <t>Electrical, Plumbing, HVAC, Fire per SF</t>
  </si>
  <si>
    <t>ContainerCosts</t>
  </si>
  <si>
    <t>reference compost model</t>
  </si>
  <si>
    <t>Roll offs serviced per day per truck</t>
  </si>
  <si>
    <t>Collection days per week</t>
  </si>
  <si>
    <t>30 yd. Roll off Truck</t>
  </si>
  <si>
    <t>HHs</t>
  </si>
  <si>
    <t>Roll off Loads per Day</t>
  </si>
  <si>
    <t>Roll off Loads per year</t>
  </si>
  <si>
    <t>COLLECTION STAFFING</t>
  </si>
  <si>
    <t>Number of Drivers</t>
  </si>
  <si>
    <t>Annual rate Driver</t>
  </si>
  <si>
    <t>Annual Rate Cart Tech/Driver Assistant</t>
  </si>
  <si>
    <t>DIRECT HAUL ADDER- Organics</t>
  </si>
  <si>
    <t>DIRECT HAUL ADDER- Recycling</t>
  </si>
  <si>
    <t>Trash Savings/Year</t>
  </si>
  <si>
    <t>Region ACR 2022 (5-year)</t>
  </si>
  <si>
    <t>Equpment Maintenance Costs</t>
  </si>
  <si>
    <t>Loader Fuel Costs (per hour)</t>
  </si>
  <si>
    <t>Forklift Fuel Costs (per hour)</t>
  </si>
  <si>
    <t>Labor Cost (includes Fringe Benefits)</t>
  </si>
  <si>
    <t>Building O&amp;M Costs</t>
  </si>
  <si>
    <t xml:space="preserve">Electriciy </t>
  </si>
  <si>
    <t>Fuel</t>
  </si>
  <si>
    <t>Forklift (per hour)</t>
  </si>
  <si>
    <t>Loader (per hour)</t>
  </si>
  <si>
    <t>Total Annual Operating Cost</t>
  </si>
  <si>
    <t>Not including an organics drop-off option</t>
  </si>
  <si>
    <t xml:space="preserve"> ONE PAD Calculation</t>
  </si>
  <si>
    <t>Aeration zone base (width)</t>
  </si>
  <si>
    <t>FT</t>
  </si>
  <si>
    <t>Keystone ASP - 11,500 TPY Model</t>
  </si>
  <si>
    <t>Total costs per ton</t>
  </si>
  <si>
    <t>ASP System Sizing</t>
  </si>
  <si>
    <t>Aeration zone length</t>
  </si>
  <si>
    <t>Population</t>
  </si>
  <si>
    <t>Annualized Capital Cost</t>
  </si>
  <si>
    <t>Incoming Material:</t>
  </si>
  <si>
    <t>Factor</t>
  </si>
  <si>
    <t>Cubic Yards</t>
  </si>
  <si>
    <t>Total pad length</t>
  </si>
  <si>
    <t>Average Tipping Fee</t>
  </si>
  <si>
    <t>Foodwaste</t>
  </si>
  <si>
    <t>Active pad area</t>
  </si>
  <si>
    <t>SF</t>
  </si>
  <si>
    <t>Average Bulk Compost Price ($/CY)</t>
  </si>
  <si>
    <t>YW/Bulking Agent</t>
  </si>
  <si>
    <t>ACRES</t>
  </si>
  <si>
    <t>Average Collection Cost</t>
  </si>
  <si>
    <t>total</t>
  </si>
  <si>
    <t>Starting total pile height (composting matls, &amp; cover)</t>
  </si>
  <si>
    <t>Tonnage Generated</t>
  </si>
  <si>
    <t>Profit</t>
  </si>
  <si>
    <t>Side slope (H:V)</t>
  </si>
  <si>
    <t>1:</t>
  </si>
  <si>
    <t># of Pads:</t>
  </si>
  <si>
    <t>Number of Zones that can fit</t>
  </si>
  <si>
    <t>ZONES</t>
  </si>
  <si>
    <t>Tonnage Collected</t>
  </si>
  <si>
    <t>Avoided Disposal Costs</t>
  </si>
  <si>
    <t>Pad Acreage:</t>
  </si>
  <si>
    <t>Volume of First Zone Built</t>
  </si>
  <si>
    <t>CY/ZONE</t>
  </si>
  <si>
    <t>Cost of Land</t>
  </si>
  <si>
    <t>Collection Costs</t>
  </si>
  <si>
    <t>Aeration Zones:</t>
  </si>
  <si>
    <t>Volume of Subsequent Zones Built</t>
  </si>
  <si>
    <t># of Facilities Needed</t>
  </si>
  <si>
    <t>Total Profit</t>
  </si>
  <si>
    <t>Total Site Area:</t>
  </si>
  <si>
    <t>Weighted Average Volume per Zone</t>
  </si>
  <si>
    <t># of Existing Facilities</t>
  </si>
  <si>
    <t>Total System Profit</t>
  </si>
  <si>
    <t>Pad Volume Capacity (at full capacity)</t>
  </si>
  <si>
    <t>CY</t>
  </si>
  <si>
    <t>Facility Size</t>
  </si>
  <si>
    <t>Pad Tonnage  Capacity (@500 lbs/CY))</t>
  </si>
  <si>
    <t>Cycle Time (Pad residence &amp; Turn)</t>
  </si>
  <si>
    <t>Days</t>
  </si>
  <si>
    <t xml:space="preserve">ASP Capital Cost </t>
  </si>
  <si>
    <t>Sizing Factor</t>
  </si>
  <si>
    <t>%</t>
  </si>
  <si>
    <t>Rolling Stock/Portable Equipment</t>
  </si>
  <si>
    <t># of Units</t>
  </si>
  <si>
    <t>unit</t>
  </si>
  <si>
    <t>$ per unit</t>
  </si>
  <si>
    <t>Life (Yrs)</t>
  </si>
  <si>
    <t xml:space="preserve">Annualized Capital </t>
  </si>
  <si>
    <t>Loader #1</t>
  </si>
  <si>
    <t>ea</t>
  </si>
  <si>
    <t>catepiller 928 HZ</t>
  </si>
  <si>
    <t>CY/Year</t>
  </si>
  <si>
    <t>Loader #2</t>
  </si>
  <si>
    <t>SkidSteer</t>
  </si>
  <si>
    <t>BobCat s64</t>
  </si>
  <si>
    <t>Grinder/Shredder</t>
  </si>
  <si>
    <t>Morbark 3800 700 HP with reversing fan and magnetic separator at +30,000 for options</t>
  </si>
  <si>
    <t>Mixer</t>
  </si>
  <si>
    <t>Mclanahan Pugmill Mixer</t>
  </si>
  <si>
    <t xml:space="preserve">Screener </t>
  </si>
  <si>
    <t xml:space="preserve">Komptech </t>
  </si>
  <si>
    <t>Service Truck</t>
  </si>
  <si>
    <t>changed to service truck</t>
  </si>
  <si>
    <t xml:space="preserve">Work Truck </t>
  </si>
  <si>
    <t>silverado 2500 work truck</t>
  </si>
  <si>
    <t>Air Compressor</t>
  </si>
  <si>
    <t>Small Tools/Initial Parts</t>
  </si>
  <si>
    <t>LS</t>
  </si>
  <si>
    <t xml:space="preserve">Subtotal </t>
  </si>
  <si>
    <t xml:space="preserve">Site Development and Buildings </t>
  </si>
  <si>
    <t>SITE COSTS (Atlas 2021)</t>
  </si>
  <si>
    <t>Site Preparation</t>
  </si>
  <si>
    <t>Asphalt</t>
  </si>
  <si>
    <t>per sf</t>
  </si>
  <si>
    <t>Clearing and Stripping</t>
  </si>
  <si>
    <t>Acre</t>
  </si>
  <si>
    <t>Concrete</t>
  </si>
  <si>
    <t>for 6" layer</t>
  </si>
  <si>
    <t>Erosion Control</t>
  </si>
  <si>
    <t>Aggregate</t>
  </si>
  <si>
    <t>per acre</t>
  </si>
  <si>
    <t>for 10" layer</t>
  </si>
  <si>
    <t xml:space="preserve">Concrete Pad Prep/Excavation (Includes Site Drainage) </t>
  </si>
  <si>
    <t>4-inches of asphalt</t>
  </si>
  <si>
    <t xml:space="preserve">Aerated Composting Pad (Engineered Concrete) </t>
  </si>
  <si>
    <t>4-inches of Concrete</t>
  </si>
  <si>
    <t xml:space="preserve">Aerated Composting Pad (Engineered Asphalt) </t>
  </si>
  <si>
    <t>4-foot long - 40@4'/ pad</t>
  </si>
  <si>
    <t xml:space="preserve">Aerated Curing  Pad (Engineered Concrete) </t>
  </si>
  <si>
    <t>Bin Blocks</t>
  </si>
  <si>
    <t xml:space="preserve">ea </t>
  </si>
  <si>
    <t xml:space="preserve">Aerated Curing  Pad (Engineered Asphalt) </t>
  </si>
  <si>
    <t>Clearing and grubbing</t>
  </si>
  <si>
    <t>Circulation Areas  (Engineered Gravel  - Active Area)</t>
  </si>
  <si>
    <t>Erosion control</t>
  </si>
  <si>
    <t>Site Prep/Excavation (Roads &amp; Buildings)</t>
  </si>
  <si>
    <t>Pond Liner</t>
  </si>
  <si>
    <t>10-inch drop ring around perimeter</t>
  </si>
  <si>
    <t xml:space="preserve">Entrance Road (Asphalt) </t>
  </si>
  <si>
    <t>Bank protection</t>
  </si>
  <si>
    <t>Receiving Area Covered Pad (100x50)</t>
  </si>
  <si>
    <t>Pond Riser/Skimmer</t>
  </si>
  <si>
    <t>each</t>
  </si>
  <si>
    <t>Landscaping Buffer (Windrow)</t>
  </si>
  <si>
    <t>2" Water HDPE Water</t>
  </si>
  <si>
    <t>per foot</t>
  </si>
  <si>
    <t>3" HDPE Water Recycle Pipe and Fittings</t>
  </si>
  <si>
    <t>Stormwater and Recirculation</t>
  </si>
  <si>
    <t>Pond Liner (~4:1 - Operational - Pond))</t>
  </si>
  <si>
    <t>Aeration Equipment Costs</t>
  </si>
  <si>
    <t>One time hook up charges per site</t>
  </si>
  <si>
    <t>Bank Protection</t>
  </si>
  <si>
    <t>Blower Electrical Install</t>
  </si>
  <si>
    <t>one (or two) per aeration zone</t>
  </si>
  <si>
    <t>Blowers</t>
  </si>
  <si>
    <t>One per site</t>
  </si>
  <si>
    <t>1600 amp Switchboard</t>
  </si>
  <si>
    <t>Buildings</t>
  </si>
  <si>
    <t>Power Panels</t>
  </si>
  <si>
    <t>Receiving Building (50X75) -</t>
  </si>
  <si>
    <t>40 amp load Centers</t>
  </si>
  <si>
    <t>per pad</t>
  </si>
  <si>
    <t xml:space="preserve">Office Trailer (12'x44') </t>
  </si>
  <si>
    <t>Blower Relay Panes</t>
  </si>
  <si>
    <t>Storage &amp; Maintenance Shed (20'x30')</t>
  </si>
  <si>
    <t>Lighting</t>
  </si>
  <si>
    <t>per pad with one extra</t>
  </si>
  <si>
    <t>Canopies</t>
  </si>
  <si>
    <t>Utilities/Connections/Misc.</t>
  </si>
  <si>
    <t xml:space="preserve">Water and Electric Service Connection </t>
  </si>
  <si>
    <t>Water Service Line (2-inch HDPE)</t>
  </si>
  <si>
    <t>LF</t>
  </si>
  <si>
    <t>Aeration Installation Costs</t>
  </si>
  <si>
    <t>Blower Electrical &amp; Controls</t>
  </si>
  <si>
    <t>per pad (really!!)</t>
  </si>
  <si>
    <t xml:space="preserve">Fence </t>
  </si>
  <si>
    <t>Blower Pipe/Mainfold</t>
  </si>
  <si>
    <t>per site</t>
  </si>
  <si>
    <t>Gate</t>
  </si>
  <si>
    <t>Field QC</t>
  </si>
  <si>
    <t>Aeration Equipment</t>
  </si>
  <si>
    <t>Contractor Costs</t>
  </si>
  <si>
    <t>percent of total</t>
  </si>
  <si>
    <t>Ea</t>
  </si>
  <si>
    <t>General Conditions</t>
  </si>
  <si>
    <t>Contractor O&amp;Profit</t>
  </si>
  <si>
    <t>Contingency</t>
  </si>
  <si>
    <t>EA</t>
  </si>
  <si>
    <t>Aeration Installation</t>
  </si>
  <si>
    <t>Engineering/General Conditions</t>
  </si>
  <si>
    <t xml:space="preserve">Engineering </t>
  </si>
  <si>
    <t>Survey and Layout</t>
  </si>
  <si>
    <t>Project Contingency</t>
  </si>
  <si>
    <t xml:space="preserve">Total </t>
  </si>
  <si>
    <t xml:space="preserve">Total per Ton </t>
  </si>
  <si>
    <t xml:space="preserve">ASP Operating Cost </t>
  </si>
  <si>
    <t>Labor</t>
  </si>
  <si>
    <t># of units</t>
  </si>
  <si>
    <t>units</t>
  </si>
  <si>
    <t xml:space="preserve"> $ per unit</t>
  </si>
  <si>
    <t>mechanic</t>
  </si>
  <si>
    <t>sal+ben+OT</t>
  </si>
  <si>
    <t>equip operators</t>
  </si>
  <si>
    <t>coordinator/supervisor</t>
  </si>
  <si>
    <t>laborer</t>
  </si>
  <si>
    <t>scale operator</t>
  </si>
  <si>
    <t>Blended FTE</t>
  </si>
  <si>
    <t>Subtotal</t>
  </si>
  <si>
    <t xml:space="preserve">Maintenance </t>
  </si>
  <si>
    <t>Equipment Maintenance</t>
  </si>
  <si>
    <t>cy</t>
  </si>
  <si>
    <t>Pad size</t>
  </si>
  <si>
    <t>Units</t>
  </si>
  <si>
    <t xml:space="preserve">Site Maintenance </t>
  </si>
  <si>
    <t>Pile Height</t>
  </si>
  <si>
    <t>feet high</t>
  </si>
  <si>
    <t xml:space="preserve">Building Maintenance </t>
  </si>
  <si>
    <t>SF X section (30'X10')</t>
  </si>
  <si>
    <t>feet wide</t>
  </si>
  <si>
    <t>Supplies</t>
  </si>
  <si>
    <t>SY X Section</t>
  </si>
  <si>
    <t>feet long</t>
  </si>
  <si>
    <t xml:space="preserve">Operational Utilities </t>
  </si>
  <si>
    <t>Yards Long</t>
  </si>
  <si>
    <t># of Bays uses annually</t>
  </si>
  <si>
    <t>SF ASP Area</t>
  </si>
  <si>
    <t>Operating</t>
  </si>
  <si>
    <t>weeks composting time</t>
  </si>
  <si>
    <t>Acre ASP Area</t>
  </si>
  <si>
    <t>Aeration System</t>
  </si>
  <si>
    <t>kwh</t>
  </si>
  <si>
    <t>Assume # Pads w/5 zones, each with a 2hp fan running 8 hours a day (1HP=0.75KW)</t>
  </si>
  <si>
    <t># of Bays uses ongoing</t>
  </si>
  <si>
    <t xml:space="preserve">Loader </t>
  </si>
  <si>
    <t>hours</t>
  </si>
  <si>
    <t>hr/d</t>
  </si>
  <si>
    <t>sf</t>
  </si>
  <si>
    <t xml:space="preserve">Grinder </t>
  </si>
  <si>
    <t>cubic yards</t>
  </si>
  <si>
    <t>hp</t>
  </si>
  <si>
    <t>Mobile Gore Unit Covers</t>
  </si>
  <si>
    <t>long</t>
  </si>
  <si>
    <t>tons</t>
  </si>
  <si>
    <t>d/yr</t>
  </si>
  <si>
    <t>wide</t>
  </si>
  <si>
    <t>Screener</t>
  </si>
  <si>
    <t>cyd of fin compost</t>
  </si>
  <si>
    <t>hp/kw</t>
  </si>
  <si>
    <t>high</t>
  </si>
  <si>
    <t xml:space="preserve">Dump Truck </t>
  </si>
  <si>
    <t>Hours</t>
  </si>
  <si>
    <t>cuft</t>
  </si>
  <si>
    <t>Bulking Agent (3-inch minus wood chips)</t>
  </si>
  <si>
    <t>cuyd</t>
  </si>
  <si>
    <t>Total per Ton</t>
  </si>
  <si>
    <t>ASP Revenue</t>
  </si>
  <si>
    <t>Gate Fees</t>
  </si>
  <si>
    <t>Avoided Tip Fees</t>
  </si>
  <si>
    <t>Finished Compost Value (includes sales of additional bulking agent)</t>
  </si>
  <si>
    <t>Total per ton</t>
  </si>
  <si>
    <t>ASP Facility Characteristics</t>
  </si>
  <si>
    <t>Total Throughput (not including bulking) - Tons per year</t>
  </si>
  <si>
    <t>Total Site Area - Acres</t>
  </si>
  <si>
    <t>Total Building Area - SF</t>
  </si>
  <si>
    <t>Equipment - pieces</t>
  </si>
  <si>
    <t>Staff - FTE</t>
  </si>
  <si>
    <t>Total Marketed Material - CY</t>
  </si>
  <si>
    <t>ASP Facility Costs</t>
  </si>
  <si>
    <t>COSTS</t>
  </si>
  <si>
    <t>Equipment Capital ($)</t>
  </si>
  <si>
    <t>Site Development and Building Capital ($)</t>
  </si>
  <si>
    <t>Total Annualized Cost of Capital ($/ton) - a</t>
  </si>
  <si>
    <t>Annual Operating Cost - Labor ($)</t>
  </si>
  <si>
    <t>Annual Operating Cost - Maintenance ($)</t>
  </si>
  <si>
    <t>Annual Operating Cost - Equipment ($)</t>
  </si>
  <si>
    <t>Total Operating Cost ($/ton) - b</t>
  </si>
  <si>
    <t>Waste Disposal ($/ton) - c</t>
  </si>
  <si>
    <t>Tipping Fee ($/ton) - d</t>
  </si>
  <si>
    <t>REVENUES</t>
  </si>
  <si>
    <t>Compost Sales ($/ton) - e</t>
  </si>
  <si>
    <t>Total Annualized Revenue (Loss) - ($/ton)                =(d+e)-a-b-c</t>
  </si>
  <si>
    <t>Windrow Facility Characteristics</t>
  </si>
  <si>
    <t>Total Throughput - Tons per year</t>
  </si>
  <si>
    <t>Windrow Facility Costs</t>
  </si>
  <si>
    <t>Total Facility Capital Cost</t>
  </si>
  <si>
    <t>Total Annual Operating Cost - Labor, Maintenance, Equipment ($)</t>
  </si>
  <si>
    <t>Tipfees</t>
  </si>
  <si>
    <t xml:space="preserve">Compost Sales </t>
  </si>
  <si>
    <t>Total Annual Revenues</t>
  </si>
  <si>
    <t>Total Annualized Revenue (Loss) - ($/ton)</t>
  </si>
  <si>
    <t>SWACO Windrow - 84,000 TPY Model</t>
  </si>
  <si>
    <t>Pad Sizing</t>
  </si>
  <si>
    <t>Greenwaste</t>
  </si>
  <si>
    <t>Average Labor Rate</t>
  </si>
  <si>
    <t>Mixing Factor:</t>
  </si>
  <si>
    <t>Reduction Factor:</t>
  </si>
  <si>
    <t>Composting Time:</t>
  </si>
  <si>
    <t>months</t>
  </si>
  <si>
    <t>Pile Volume:</t>
  </si>
  <si>
    <t>Base</t>
  </si>
  <si>
    <t>ft</t>
  </si>
  <si>
    <t>Height</t>
  </si>
  <si>
    <t>Total System Cost</t>
  </si>
  <si>
    <t>Length</t>
  </si>
  <si>
    <t>Facility Size (tpy)</t>
  </si>
  <si>
    <t>X-Section Area</t>
  </si>
  <si>
    <t>CF</t>
  </si>
  <si>
    <t>Total Area</t>
  </si>
  <si>
    <t>Total # of windrows</t>
  </si>
  <si>
    <t>Pad Area</t>
  </si>
  <si>
    <t xml:space="preserve">Windrow  Capital Cost </t>
  </si>
  <si>
    <t xml:space="preserve">Windrow Turner </t>
  </si>
  <si>
    <t>Loader</t>
  </si>
  <si>
    <t>Caterpiller 928 HZ</t>
  </si>
  <si>
    <t xml:space="preserve">Grinder/Shredder </t>
  </si>
  <si>
    <t>Komptech M2</t>
  </si>
  <si>
    <t>Dump (service) Truck</t>
  </si>
  <si>
    <t xml:space="preserve">Pick up Truck </t>
  </si>
  <si>
    <t>5,000 watering tank and trailer</t>
  </si>
  <si>
    <t>Assumed used from construction sales</t>
  </si>
  <si>
    <t xml:space="preserve">Pad Prep/Excavation (Includes Site Drainage) </t>
  </si>
  <si>
    <t xml:space="preserve">Pad (Engineered Gravel Pad-Includes Stock, Curing, &amp; Finished Compost) </t>
  </si>
  <si>
    <t>Receiving Area Pad (50x100)</t>
  </si>
  <si>
    <t xml:space="preserve">Windrow Operating Cost </t>
  </si>
  <si>
    <t>salary+bene+OT</t>
  </si>
  <si>
    <t>$4/cy output</t>
  </si>
  <si>
    <t>50 cy/hr</t>
  </si>
  <si>
    <t>$2/cy output</t>
  </si>
  <si>
    <t>Windrow Revenue</t>
  </si>
  <si>
    <t>Market</t>
  </si>
  <si>
    <t>Portion</t>
  </si>
  <si>
    <t>Topsoil Blend</t>
  </si>
  <si>
    <t>Mulch</t>
  </si>
  <si>
    <t>Finished Compost Value</t>
  </si>
  <si>
    <t>Nurseries/Landscaper/Dot</t>
  </si>
  <si>
    <t>Total Composting Pad Area - Acres</t>
  </si>
  <si>
    <t>Total Annualized Revenue (Loss) - ($/ton)       =(d+e)-a-b-c</t>
  </si>
  <si>
    <t>Average Bulk Compost Price</t>
  </si>
  <si>
    <t>lbs trash/person/year</t>
  </si>
  <si>
    <t>Max captured YW/person/yr</t>
  </si>
  <si>
    <t>Max captured FW/person/yr</t>
  </si>
  <si>
    <t>Max YW capture rate</t>
  </si>
  <si>
    <t>Max FW capture rate</t>
  </si>
  <si>
    <t>FW generation/person/yr</t>
  </si>
  <si>
    <t>YW generation/person/year</t>
  </si>
  <si>
    <t>Max captured YW/person/collection</t>
  </si>
  <si>
    <t>Max captured FW/person/collection</t>
  </si>
  <si>
    <t>https://www.biocycle.net/residential-food-waste-collection-in-the-u-s-2/</t>
  </si>
  <si>
    <t>Max captured FW/HH/collection</t>
  </si>
  <si>
    <t>Max captured YW/HH/collection</t>
  </si>
  <si>
    <t>check</t>
  </si>
  <si>
    <t>CompostNews</t>
  </si>
  <si>
    <t>$/CY</t>
  </si>
  <si>
    <t xml:space="preserve">Bulk wholesale (yard) for Yard waste compost, Cleveland region </t>
  </si>
  <si>
    <t>Not including a TS per JD</t>
  </si>
  <si>
    <t>Waste Disposal - @ 10% of incoming</t>
  </si>
  <si>
    <t xml:space="preserve">low </t>
  </si>
  <si>
    <t>CY/hr</t>
  </si>
  <si>
    <t>gal/hr</t>
  </si>
  <si>
    <t>Percent YW requiring grinding</t>
  </si>
  <si>
    <t>Grinder</t>
  </si>
  <si>
    <t>Grinder - cost</t>
  </si>
  <si>
    <t>Grinder - capacity</t>
  </si>
  <si>
    <t>Mixer - capacity</t>
  </si>
  <si>
    <t>Mixer - cost</t>
  </si>
  <si>
    <t>Screener - capacity</t>
  </si>
  <si>
    <t>Screener - cost</t>
  </si>
  <si>
    <t>$</t>
  </si>
  <si>
    <t>Grinder - time requirement</t>
  </si>
  <si>
    <t>Mixer - time requirement</t>
  </si>
  <si>
    <t>Screen - time requirement</t>
  </si>
  <si>
    <t>Grinder - material processed</t>
  </si>
  <si>
    <t>Mixer - material processed</t>
  </si>
  <si>
    <t xml:space="preserve">Screener - material processed </t>
  </si>
  <si>
    <t>hr/yr</t>
  </si>
  <si>
    <t>Loader - capacity</t>
  </si>
  <si>
    <t>Loader - fuel requirements</t>
  </si>
  <si>
    <t>Loader - time requirement</t>
  </si>
  <si>
    <t>Cost/ton</t>
  </si>
  <si>
    <t>CY/yr</t>
  </si>
  <si>
    <t>Employees</t>
  </si>
  <si>
    <t>Total Hours</t>
  </si>
  <si>
    <t xml:space="preserve">Material per week (26 weeks/seasonal) </t>
  </si>
  <si>
    <t>ton</t>
  </si>
  <si>
    <t>Receiving pad capacity</t>
  </si>
  <si>
    <t>Material to grind each week</t>
  </si>
  <si>
    <t>Material to mix each week</t>
  </si>
  <si>
    <t>Receiving pads per week</t>
  </si>
  <si>
    <t>Scaling Equation</t>
  </si>
  <si>
    <t>hr/wk</t>
  </si>
  <si>
    <t>Change in Total Facility Cost per Ton</t>
  </si>
  <si>
    <t>Equipment sizing</t>
  </si>
  <si>
    <t>Change in Total Tonnage</t>
  </si>
  <si>
    <t>Total Facility Cost per Ton Slope</t>
  </si>
  <si>
    <t>Total Facility Cost per Ton Value at Zero Tons</t>
  </si>
  <si>
    <t>Change in Total Capital</t>
  </si>
  <si>
    <t>Total Capital Slope</t>
  </si>
  <si>
    <t>Total Capital Value at Zero Tons</t>
  </si>
  <si>
    <t>Cost</t>
  </si>
  <si>
    <t>ASP YW</t>
  </si>
  <si>
    <t>ASP YW+FW</t>
  </si>
  <si>
    <t>Screening every 12 days (~2 weeks)</t>
  </si>
  <si>
    <t>Waste Disposal - @ 15% of incoming</t>
  </si>
  <si>
    <t>DOUBLE CHECK THIS</t>
  </si>
  <si>
    <t>MRF Processing</t>
  </si>
  <si>
    <t>Windrow Turner</t>
  </si>
  <si>
    <t>Windrow YW</t>
  </si>
  <si>
    <t>Windrow YW+FW</t>
  </si>
  <si>
    <t>MRF Facility Cost per Ton</t>
  </si>
  <si>
    <t>Total MRF Cost per Ton</t>
  </si>
  <si>
    <t>Collection Disposal Savings</t>
  </si>
  <si>
    <t>DISPOSAL SAVINGS</t>
  </si>
  <si>
    <t>TRANSFER STATION COSTS</t>
  </si>
  <si>
    <t>Total Cost per Ton</t>
  </si>
  <si>
    <t>Thrid Party MRF Tip Fee</t>
  </si>
  <si>
    <t>Receiving Building (50X75)</t>
  </si>
  <si>
    <t xml:space="preserve">Acre </t>
  </si>
  <si>
    <t xml:space="preserve">Pad (Engineered Asphalt) </t>
  </si>
  <si>
    <t xml:space="preserve">Curing Pad (Engineered Asphalt) </t>
  </si>
  <si>
    <t>CY/windrow</t>
  </si>
  <si>
    <t>Site Area</t>
  </si>
  <si>
    <t>Cumulative % price increase since 2015</t>
  </si>
  <si>
    <t>Windrows</t>
  </si>
  <si>
    <t>Tractor, 40 hp</t>
  </si>
  <si>
    <t>Kubota L4060HSTC-LE, 2022</t>
  </si>
  <si>
    <t>Scat Engineering 2-pass elevating face turner, tractor-towed</t>
  </si>
  <si>
    <t>Turns per year/pile</t>
  </si>
  <si>
    <t>Windrow turner - capacity</t>
  </si>
  <si>
    <t xml:space="preserve">Tractor-towed Windrow Turner </t>
  </si>
  <si>
    <t>Window turner - time</t>
  </si>
  <si>
    <t>hr (80% efficiency)</t>
  </si>
  <si>
    <t>Tractor</t>
  </si>
  <si>
    <t>Screening every 1 month</t>
  </si>
  <si>
    <t>hr/month</t>
  </si>
  <si>
    <r>
      <t>4. Estimate the level of participation in your recycling program. (</t>
    </r>
    <r>
      <rPr>
        <i/>
        <sz val="12"/>
        <color theme="2" tint="-0.749992370372631"/>
        <rFont val="News Gothic MT"/>
        <family val="2"/>
      </rPr>
      <t>See "</t>
    </r>
    <r>
      <rPr>
        <i/>
        <u/>
        <sz val="12"/>
        <color theme="2" tint="-0.749992370372631"/>
        <rFont val="News Gothic MT"/>
        <family val="2"/>
      </rPr>
      <t>Instruction Page</t>
    </r>
    <r>
      <rPr>
        <i/>
        <sz val="12"/>
        <color theme="2" tint="-0.749992370372631"/>
        <rFont val="News Gothic MT"/>
        <family val="2"/>
      </rPr>
      <t>" for more information.</t>
    </r>
    <r>
      <rPr>
        <b/>
        <sz val="12"/>
        <color theme="2" tint="-0.749992370372631"/>
        <rFont val="News Gothic MT"/>
        <family val="2"/>
      </rPr>
      <t>)</t>
    </r>
  </si>
  <si>
    <t>6. Will glass be included in single stream recycling?</t>
  </si>
  <si>
    <r>
      <t xml:space="preserve">7. How "much" do you think people will recycle in your community? </t>
    </r>
    <r>
      <rPr>
        <i/>
        <sz val="12"/>
        <color theme="2" tint="-0.749992370372631"/>
        <rFont val="News Gothic MT"/>
        <family val="2"/>
      </rPr>
      <t>(See "</t>
    </r>
    <r>
      <rPr>
        <i/>
        <u/>
        <sz val="12"/>
        <color theme="2" tint="-0.749992370372631"/>
        <rFont val="News Gothic MT"/>
        <family val="2"/>
      </rPr>
      <t>Instruction Page</t>
    </r>
    <r>
      <rPr>
        <i/>
        <sz val="12"/>
        <color theme="2" tint="-0.749992370372631"/>
        <rFont val="News Gothic MT"/>
        <family val="2"/>
      </rPr>
      <t>" for more information)</t>
    </r>
  </si>
  <si>
    <r>
      <t>12. Estimate the level of participation in your organics program. (</t>
    </r>
    <r>
      <rPr>
        <i/>
        <sz val="12"/>
        <color theme="2" tint="-0.749992370372631"/>
        <rFont val="News Gothic MT"/>
        <family val="2"/>
      </rPr>
      <t>See "</t>
    </r>
    <r>
      <rPr>
        <i/>
        <u/>
        <sz val="12"/>
        <color theme="2" tint="-0.749992370372631"/>
        <rFont val="News Gothic MT"/>
        <family val="2"/>
      </rPr>
      <t>Instruction Page</t>
    </r>
    <r>
      <rPr>
        <i/>
        <sz val="12"/>
        <color theme="2" tint="-0.749992370372631"/>
        <rFont val="News Gothic MT"/>
        <family val="2"/>
      </rPr>
      <t>" for more information.</t>
    </r>
    <r>
      <rPr>
        <b/>
        <sz val="12"/>
        <color theme="2" tint="-0.749992370372631"/>
        <rFont val="News Gothic MT"/>
        <family val="2"/>
      </rPr>
      <t>)</t>
    </r>
  </si>
  <si>
    <r>
      <t xml:space="preserve">13. How "much" do you think people will recycle organics in your community? </t>
    </r>
    <r>
      <rPr>
        <i/>
        <sz val="12"/>
        <color theme="2" tint="-0.749992370372631"/>
        <rFont val="News Gothic MT"/>
        <family val="2"/>
      </rPr>
      <t>(See "</t>
    </r>
    <r>
      <rPr>
        <i/>
        <u/>
        <sz val="12"/>
        <color theme="2" tint="-0.749992370372631"/>
        <rFont val="News Gothic MT"/>
        <family val="2"/>
      </rPr>
      <t>Instruction Page</t>
    </r>
    <r>
      <rPr>
        <i/>
        <sz val="12"/>
        <color theme="2" tint="-0.749992370372631"/>
        <rFont val="News Gothic MT"/>
        <family val="2"/>
      </rPr>
      <t>" for more information)</t>
    </r>
  </si>
  <si>
    <t>14. Do you know your organics processor gate fee or revenue per ton?</t>
  </si>
  <si>
    <t>15. How far is it from your municipality to the Compost Site or other end destination for a direct haul by your curbside organics collection trucks?</t>
  </si>
  <si>
    <t>INPUTS (You must answer all fifteen questions)</t>
  </si>
  <si>
    <t>O&amp;M (Maintenance / Fuel / Fleet)</t>
  </si>
  <si>
    <t>Truck Fees (license / insurance)</t>
  </si>
  <si>
    <t>4. Capital Cost (Total)</t>
  </si>
  <si>
    <t>Thrid Party MRF Tip Fee With Rev</t>
  </si>
  <si>
    <t>Total Cost per Ton including MRF Tip Fee With Rev</t>
  </si>
  <si>
    <t>Total Cost per HH including MRF Tip Fee With Rev</t>
  </si>
  <si>
    <t>Cost per Ton</t>
  </si>
  <si>
    <t>Cost per Ton with Revenue</t>
  </si>
  <si>
    <t>Annual Staff Cost</t>
  </si>
  <si>
    <t>Annual Capital Cost</t>
  </si>
  <si>
    <t>Annual Operations &amp; Maintenance Cost</t>
  </si>
  <si>
    <t>Total Annual Cost</t>
  </si>
  <si>
    <t>MRF Tip Fee With Rev</t>
  </si>
  <si>
    <t>Total Annual Collection Cost</t>
  </si>
  <si>
    <t>Total Annual Cost with Revenue</t>
  </si>
  <si>
    <t>Total Annual Cost with Rev</t>
  </si>
  <si>
    <t>Annual Truck and Processing Cost with Revenue</t>
  </si>
  <si>
    <t>3. Annual Cost (Capital + Operating)</t>
  </si>
  <si>
    <t>Total Cost With Rev</t>
  </si>
  <si>
    <t>Total Annual Costs With Revenue</t>
  </si>
  <si>
    <t>Revene Share</t>
  </si>
  <si>
    <t>Lbs / Participating HH / Year</t>
  </si>
  <si>
    <t>Lbs / Participating HH / Collection</t>
  </si>
  <si>
    <t>Participation Scaling</t>
  </si>
  <si>
    <t>Compost Tip Fee With Rev</t>
  </si>
  <si>
    <t>Implementing a Residential Curbside Organics Recycling Program</t>
  </si>
  <si>
    <t># organics collections/year</t>
  </si>
  <si>
    <t>Annual Cost (Cap+Op)</t>
  </si>
  <si>
    <t>Annual Cost, incld revenue</t>
  </si>
  <si>
    <t>Additional Collection and Processing  Cost for Direct Haul</t>
  </si>
  <si>
    <t>9. Do you know your net recycling processor gate fee or revenue per ton?</t>
  </si>
  <si>
    <r>
      <t xml:space="preserve">If you select 'Yes', enter the net fee (revenue - processing = net fee). If you </t>
    </r>
    <r>
      <rPr>
        <b/>
        <i/>
        <sz val="9"/>
        <color theme="2" tint="-0.749992370372631"/>
        <rFont val="News Gothic MT"/>
        <family val="2"/>
      </rPr>
      <t>pay</t>
    </r>
    <r>
      <rPr>
        <i/>
        <sz val="9"/>
        <color theme="2" tint="-0.749992370372631"/>
        <rFont val="News Gothic MT"/>
        <family val="2"/>
      </rPr>
      <t xml:space="preserve"> a fee, put a minus symbol in front of the rate (-$45.00)</t>
    </r>
  </si>
  <si>
    <t>GREAT LAKES REGION ISWM MODEL - INPUTS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</si>
</sst>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
    <numFmt numFmtId="168" formatCode="_(&quot;$&quot;* #,##0_);_(&quot;$&quot;* \(#,##0\);_(&quot;$&quot;* &quot;-&quot;??_);_(@_)"/>
    <numFmt numFmtId="169" formatCode="_(&quot;$&quot;* #,##0.0_);_(&quot;$&quot;* \(#,##0.0\);_(&quot;$&quot;* &quot;-&quot;?_);_(@_)"/>
    <numFmt numFmtId="170" formatCode="0.00\ &quot;tph&quot;"/>
    <numFmt numFmtId="171" formatCode="&quot;$&quot;#,##0"/>
    <numFmt numFmtId="172" formatCode="0\ &quot;years&quot;"/>
    <numFmt numFmtId="173" formatCode="_-[$$-1009]* #,##0.00_-;\-[$$-1009]* #,##0.00_-;_-[$$-1009]* &quot;-&quot;??_-;_-@_-"/>
    <numFmt numFmtId="174" formatCode="_(&quot;$&quot;* #,##0.000_);_(&quot;$&quot;* \(#,##0.000\);_(&quot;$&quot;* &quot;-&quot;??_);_(@_)"/>
    <numFmt numFmtId="175" formatCode="_(&quot;$&quot;* #,##0_);_(&quot;$&quot;* \(#,##0\);_(&quot;$&quot;* &quot;-&quot;?_);_(@_)"/>
    <numFmt numFmtId="176" formatCode="&quot;$&quot;#,##0.00"/>
    <numFmt numFmtId="177" formatCode="0.0000"/>
    <numFmt numFmtId="178" formatCode="&quot;$&quot;#,##0.000_);[Red]\(&quot;$&quot;#,##0.000\)"/>
    <numFmt numFmtId="179" formatCode="_(&quot;$&quot;* #,##0.00_);_(&quot;$&quot;* \(#,##0.00\);_(&quot;$&quot;* &quot;-&quot;?_);_(@_)"/>
    <numFmt numFmtId="180" formatCode="#,##0.0"/>
    <numFmt numFmtId="181" formatCode="_(&quot;$&quot;* #,##0.0_);_(&quot;$&quot;* \(#,##0.0\);_(&quot;$&quot;* &quot;-&quot;??_);_(@_)"/>
    <numFmt numFmtId="182" formatCode="#,##0\ ;&quot; (&quot;#,##0\);&quot; -&quot;#\ ;@\ "/>
    <numFmt numFmtId="183" formatCode="&quot;$&quot;#,##0.0_);\(&quot;$&quot;#,##0.0\)"/>
    <numFmt numFmtId="184" formatCode="#,##0.00_)&quot;acres&quot;"/>
    <numFmt numFmtId="185" formatCode="_(* #,##0_);_(* \(#,##0\);_(* &quot;-&quot;?_);_(@_)"/>
    <numFmt numFmtId="186" formatCode="_(&quot;$&quot;* #,##0.0000_);_(&quot;$&quot;* \(#,##0.0000\);_(&quot;$&quot;* &quot;-&quot;??_);_(@_)"/>
  </numFmts>
  <fonts count="92" x14ac:knownFonts="1">
    <font>
      <sz val="11"/>
      <color theme="1"/>
      <name val="Calibri"/>
      <family val="2"/>
      <scheme val="minor"/>
    </font>
    <font>
      <sz val="11"/>
      <color theme="1"/>
      <name val="Calibri"/>
      <family val="2"/>
      <scheme val="minor"/>
    </font>
    <font>
      <sz val="10"/>
      <color theme="1"/>
      <name val="Arial Narrow"/>
      <family val="2"/>
    </font>
    <font>
      <b/>
      <sz val="10"/>
      <color theme="1"/>
      <name val="Arial Narrow"/>
      <family val="2"/>
    </font>
    <font>
      <i/>
      <sz val="10"/>
      <color theme="1"/>
      <name val="Arial Narrow"/>
      <family val="2"/>
    </font>
    <font>
      <sz val="10"/>
      <name val="Arial Narrow"/>
      <family val="2"/>
    </font>
    <font>
      <sz val="11"/>
      <color indexed="8"/>
      <name val="Calibri"/>
      <family val="2"/>
    </font>
    <font>
      <sz val="12"/>
      <color theme="1"/>
      <name val="Arial"/>
      <family val="2"/>
    </font>
    <font>
      <sz val="10"/>
      <name val="Arial"/>
      <family val="2"/>
    </font>
    <font>
      <u/>
      <sz val="11"/>
      <color theme="10"/>
      <name val="Calibri"/>
      <family val="2"/>
      <scheme val="minor"/>
    </font>
    <font>
      <u/>
      <sz val="11"/>
      <color theme="11"/>
      <name val="Calibri"/>
      <family val="2"/>
      <scheme val="minor"/>
    </font>
    <font>
      <sz val="10"/>
      <color rgb="FF000000"/>
      <name val="Arial Narrow"/>
      <family val="2"/>
    </font>
    <font>
      <sz val="10"/>
      <color theme="1"/>
      <name val="News Gothic MT"/>
      <family val="2"/>
    </font>
    <font>
      <sz val="10"/>
      <color rgb="FFFF0000"/>
      <name val="News Gothic MT"/>
      <family val="2"/>
    </font>
    <font>
      <sz val="8"/>
      <name val="Calibri"/>
      <family val="2"/>
      <scheme val="minor"/>
    </font>
    <font>
      <b/>
      <sz val="28"/>
      <color theme="0"/>
      <name val="Gill Sans MT Condensed"/>
      <family val="2"/>
    </font>
    <font>
      <b/>
      <sz val="24"/>
      <color theme="4"/>
      <name val="Gill Sans MT Condensed"/>
      <family val="2"/>
    </font>
    <font>
      <sz val="9"/>
      <color theme="1"/>
      <name val="News Gothic MT"/>
      <family val="2"/>
    </font>
    <font>
      <b/>
      <sz val="9"/>
      <color theme="1"/>
      <name val="News Gothic MT"/>
      <family val="2"/>
    </font>
    <font>
      <b/>
      <sz val="9"/>
      <color theme="0"/>
      <name val="News Gothic MT"/>
      <family val="2"/>
    </font>
    <font>
      <b/>
      <sz val="9"/>
      <color theme="2" tint="-0.89999084444715716"/>
      <name val="News Gothic MT"/>
      <family val="2"/>
    </font>
    <font>
      <sz val="10"/>
      <color rgb="FF000000"/>
      <name val="News Gothic MT"/>
      <family val="2"/>
    </font>
    <font>
      <sz val="9"/>
      <color theme="2" tint="-0.89999084444715716"/>
      <name val="News Gothic MT"/>
      <family val="2"/>
    </font>
    <font>
      <sz val="9"/>
      <color theme="0"/>
      <name val="News Gothic MT"/>
      <family val="2"/>
    </font>
    <font>
      <i/>
      <sz val="24"/>
      <color theme="0" tint="-0.499984740745262"/>
      <name val="Gill Sans MT"/>
      <family val="2"/>
    </font>
    <font>
      <sz val="9"/>
      <color rgb="FF000000"/>
      <name val="News Gothic MT"/>
      <family val="2"/>
    </font>
    <font>
      <b/>
      <sz val="9"/>
      <color rgb="FF000000"/>
      <name val="News Gothic MT"/>
      <family val="2"/>
    </font>
    <font>
      <sz val="10"/>
      <color theme="0" tint="-4.9989318521683403E-2"/>
      <name val="News Gothic MT"/>
      <family val="2"/>
    </font>
    <font>
      <b/>
      <sz val="10"/>
      <name val="Arial Narrow"/>
      <family val="2"/>
    </font>
    <font>
      <sz val="10"/>
      <color theme="2" tint="-0.749992370372631"/>
      <name val="News Gothic MT"/>
      <family val="2"/>
    </font>
    <font>
      <b/>
      <sz val="12"/>
      <color theme="2" tint="-0.749992370372631"/>
      <name val="News Gothic MT"/>
      <family val="2"/>
    </font>
    <font>
      <i/>
      <sz val="12"/>
      <color theme="2" tint="-0.749992370372631"/>
      <name val="News Gothic MT"/>
      <family val="2"/>
    </font>
    <font>
      <i/>
      <u/>
      <sz val="12"/>
      <color theme="2" tint="-0.749992370372631"/>
      <name val="News Gothic MT"/>
      <family val="2"/>
    </font>
    <font>
      <i/>
      <sz val="10"/>
      <color theme="2" tint="-0.749992370372631"/>
      <name val="News Gothic MT"/>
      <family val="2"/>
    </font>
    <font>
      <i/>
      <sz val="9"/>
      <color theme="2" tint="-0.749992370372631"/>
      <name val="News Gothic MT"/>
      <family val="2"/>
    </font>
    <font>
      <sz val="10"/>
      <color theme="2" tint="-0.749992370372631"/>
      <name val="Arial Narrow"/>
      <family val="2"/>
    </font>
    <font>
      <b/>
      <sz val="10"/>
      <color theme="2" tint="-0.749992370372631"/>
      <name val="Arial Narrow"/>
      <family val="2"/>
    </font>
    <font>
      <sz val="9"/>
      <name val="News Gothic MT"/>
      <family val="2"/>
    </font>
    <font>
      <b/>
      <i/>
      <sz val="12"/>
      <color theme="2" tint="-0.749992370372631"/>
      <name val="News Gothic MT"/>
      <family val="2"/>
    </font>
    <font>
      <b/>
      <sz val="36"/>
      <color theme="4"/>
      <name val="Gill Sans MT Condensed"/>
      <family val="2"/>
    </font>
    <font>
      <b/>
      <sz val="10"/>
      <color theme="2" tint="-0.749992370372631"/>
      <name val="News Gothic MT"/>
      <family val="2"/>
    </font>
    <font>
      <b/>
      <i/>
      <sz val="10"/>
      <color theme="2" tint="-0.749992370372631"/>
      <name val="News Gothic MT"/>
      <family val="2"/>
    </font>
    <font>
      <i/>
      <sz val="9"/>
      <color theme="2" tint="-0.89999084444715716"/>
      <name val="News Gothic MT"/>
      <family val="2"/>
    </font>
    <font>
      <b/>
      <i/>
      <sz val="10"/>
      <color rgb="FF009394"/>
      <name val="News Gothic MT"/>
      <family val="2"/>
    </font>
    <font>
      <b/>
      <sz val="18"/>
      <color theme="0"/>
      <name val="Gill Sans MT Condensed"/>
      <family val="2"/>
    </font>
    <font>
      <b/>
      <i/>
      <sz val="9"/>
      <color theme="2" tint="-0.749992370372631"/>
      <name val="News Gothic MT"/>
      <family val="2"/>
    </font>
    <font>
      <sz val="10"/>
      <color theme="1"/>
      <name val="Calibri"/>
      <family val="2"/>
      <scheme val="minor"/>
    </font>
    <font>
      <b/>
      <i/>
      <sz val="10"/>
      <color theme="1"/>
      <name val="Arial Narrow"/>
      <family val="2"/>
    </font>
    <font>
      <sz val="10"/>
      <color indexed="8"/>
      <name val="Arial Narrow"/>
      <family val="2"/>
    </font>
    <font>
      <i/>
      <sz val="10"/>
      <name val="Arial Narrow"/>
      <family val="2"/>
    </font>
    <font>
      <b/>
      <sz val="10"/>
      <color rgb="FF000000"/>
      <name val="Arial Narrow"/>
      <family val="2"/>
    </font>
    <font>
      <sz val="24"/>
      <color theme="0" tint="-0.499984740745262"/>
      <name val="Gill Sans MT Condensed"/>
      <family val="2"/>
    </font>
    <font>
      <sz val="10"/>
      <name val="News Gothic MT"/>
      <family val="2"/>
    </font>
    <font>
      <u/>
      <sz val="10"/>
      <color theme="10"/>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font>
    <font>
      <sz val="12"/>
      <name val="Calibri"/>
      <family val="2"/>
    </font>
    <font>
      <sz val="11"/>
      <color indexed="8"/>
      <name val="Calibri"/>
      <family val="2"/>
      <scheme val="minor"/>
    </font>
    <font>
      <b/>
      <sz val="15"/>
      <color rgb="FFFF0000"/>
      <name val="Calibri"/>
      <family val="2"/>
      <scheme val="minor"/>
    </font>
    <font>
      <sz val="11"/>
      <name val="Calibri"/>
      <family val="2"/>
      <scheme val="minor"/>
    </font>
    <font>
      <b/>
      <sz val="11"/>
      <name val="Calibri"/>
      <family val="2"/>
      <scheme val="minor"/>
    </font>
    <font>
      <i/>
      <sz val="11"/>
      <color theme="0" tint="-0.499984740745262"/>
      <name val="Calibri"/>
      <family val="2"/>
      <scheme val="minor"/>
    </font>
    <font>
      <i/>
      <sz val="11"/>
      <color theme="1"/>
      <name val="Calibri"/>
      <family val="2"/>
      <scheme val="minor"/>
    </font>
    <font>
      <sz val="11"/>
      <color rgb="FF00B0F0"/>
      <name val="Calibri"/>
      <family val="2"/>
      <scheme val="minor"/>
    </font>
    <font>
      <sz val="11"/>
      <color rgb="FF000000"/>
      <name val="Calibri"/>
      <family val="2"/>
      <scheme val="minor"/>
    </font>
    <font>
      <i/>
      <sz val="11"/>
      <color rgb="FF000000"/>
      <name val="Calibri"/>
      <family val="2"/>
      <scheme val="minor"/>
    </font>
    <font>
      <i/>
      <sz val="11"/>
      <color indexed="8"/>
      <name val="Calibri"/>
      <family val="2"/>
      <scheme val="minor"/>
    </font>
    <font>
      <sz val="11"/>
      <color theme="3"/>
      <name val="Calibri"/>
      <family val="2"/>
      <scheme val="minor"/>
    </font>
    <font>
      <b/>
      <sz val="13.5"/>
      <color rgb="FFFEFFFF"/>
      <name val="Tw Cen MT"/>
      <family val="2"/>
    </font>
    <font>
      <sz val="13.5"/>
      <color rgb="FF4C5053"/>
      <name val="Tw Cen MT"/>
      <family val="2"/>
    </font>
    <font>
      <b/>
      <sz val="13.5"/>
      <color rgb="FF4C5053"/>
      <name val="Tw Cen MT"/>
      <family val="2"/>
    </font>
    <font>
      <b/>
      <sz val="10"/>
      <color rgb="FF000000"/>
      <name val="Calibri"/>
      <family val="2"/>
    </font>
    <font>
      <sz val="10"/>
      <color rgb="FF000000"/>
      <name val="Calibri"/>
      <family val="2"/>
    </font>
    <font>
      <b/>
      <sz val="8"/>
      <color rgb="FF000000"/>
      <name val="Tahoma"/>
      <family val="2"/>
    </font>
    <font>
      <b/>
      <sz val="10"/>
      <color rgb="FF000000"/>
      <name val="Tahoma"/>
      <family val="2"/>
    </font>
    <font>
      <sz val="10"/>
      <color rgb="FF000000"/>
      <name val="Tahoma"/>
      <family val="2"/>
    </font>
    <font>
      <sz val="9"/>
      <color indexed="81"/>
      <name val="Tahoma"/>
      <family val="2"/>
    </font>
    <font>
      <b/>
      <sz val="9"/>
      <color indexed="81"/>
      <name val="Tahoma"/>
      <family val="2"/>
    </font>
    <font>
      <sz val="9"/>
      <color rgb="FF000000"/>
      <name val="News Gothic MT"/>
      <family val="2"/>
    </font>
    <font>
      <b/>
      <sz val="10"/>
      <name val="Arial Narrow"/>
      <family val="2"/>
    </font>
    <font>
      <sz val="10"/>
      <name val="Arial Narrow"/>
      <family val="2"/>
    </font>
    <font>
      <sz val="10"/>
      <color theme="1"/>
      <name val="Arial Narrow"/>
      <family val="2"/>
    </font>
    <font>
      <sz val="9"/>
      <color theme="2" tint="-0.89999084444715716"/>
      <name val="News Gothic MT"/>
      <family val="2"/>
    </font>
    <font>
      <b/>
      <sz val="9"/>
      <color rgb="FF000000"/>
      <name val="News Gothic MT"/>
      <family val="2"/>
    </font>
    <font>
      <i/>
      <sz val="11"/>
      <color theme="3"/>
      <name val="Calibri"/>
      <family val="2"/>
      <scheme val="minor"/>
    </font>
    <font>
      <sz val="10"/>
      <color theme="1"/>
      <name val="Arial Narrow"/>
      <family val="2"/>
    </font>
  </fonts>
  <fills count="40">
    <fill>
      <patternFill patternType="none"/>
    </fill>
    <fill>
      <patternFill patternType="gray125"/>
    </fill>
    <fill>
      <patternFill patternType="solid">
        <fgColor theme="0" tint="-0.34998626667073579"/>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66FFFF"/>
        <bgColor indexed="64"/>
      </patternFill>
    </fill>
    <fill>
      <patternFill patternType="solid">
        <fgColor indexed="62"/>
        <bgColor indexed="64"/>
      </patternFill>
    </fill>
    <fill>
      <patternFill patternType="solid">
        <fgColor theme="4"/>
        <bgColor indexed="64"/>
      </patternFill>
    </fill>
    <fill>
      <patternFill patternType="solid">
        <fgColor theme="0" tint="-4.9989318521683403E-2"/>
        <bgColor indexed="64"/>
      </patternFill>
    </fill>
    <fill>
      <patternFill patternType="solid">
        <fgColor rgb="FF009394"/>
        <bgColor indexed="64"/>
      </patternFill>
    </fill>
    <fill>
      <patternFill patternType="solid">
        <fgColor rgb="FFFFFFFF"/>
        <bgColor rgb="FF000000"/>
      </patternFill>
    </fill>
    <fill>
      <patternFill patternType="solid">
        <fgColor theme="5" tint="0.79998168889431442"/>
        <bgColor indexed="64"/>
      </patternFill>
    </fill>
    <fill>
      <patternFill patternType="solid">
        <fgColor rgb="FF00B0F0"/>
        <bgColor indexed="64"/>
      </patternFill>
    </fill>
    <fill>
      <patternFill patternType="solid">
        <fgColor rgb="FF00B050"/>
        <bgColor indexed="64"/>
      </patternFill>
    </fill>
    <fill>
      <patternFill patternType="solid">
        <fgColor theme="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92D050"/>
        <bgColor indexed="64"/>
      </patternFill>
    </fill>
    <fill>
      <patternFill patternType="solid">
        <fgColor theme="4"/>
      </patternFill>
    </fill>
    <fill>
      <patternFill patternType="solid">
        <fgColor theme="4" tint="0.59999389629810485"/>
        <bgColor indexed="65"/>
      </patternFill>
    </fill>
    <fill>
      <patternFill patternType="solid">
        <fgColor theme="7" tint="0.59999389629810485"/>
        <bgColor indexed="65"/>
      </patternFill>
    </fill>
    <fill>
      <patternFill patternType="solid">
        <fgColor theme="7" tint="0.79998168889431442"/>
        <bgColor indexed="55"/>
      </patternFill>
    </fill>
    <fill>
      <patternFill patternType="solid">
        <fgColor theme="0" tint="-0.249977111117893"/>
        <bgColor indexed="64"/>
      </patternFill>
    </fill>
    <fill>
      <patternFill patternType="solid">
        <fgColor theme="7" tint="0.79998168889431442"/>
        <bgColor indexed="22"/>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indexed="9"/>
      </patternFill>
    </fill>
    <fill>
      <patternFill patternType="solid">
        <fgColor rgb="FF7BBD4E"/>
        <bgColor indexed="64"/>
      </patternFill>
    </fill>
    <fill>
      <patternFill patternType="solid">
        <fgColor rgb="FFD7E8D0"/>
        <bgColor indexed="64"/>
      </patternFill>
    </fill>
    <fill>
      <patternFill patternType="solid">
        <fgColor rgb="FFECF4E9"/>
        <bgColor indexed="64"/>
      </patternFill>
    </fill>
    <fill>
      <patternFill patternType="solid">
        <fgColor theme="9" tint="0.499984740745262"/>
        <bgColor indexed="64"/>
      </patternFill>
    </fill>
    <fill>
      <patternFill patternType="solid">
        <fgColor theme="9" tint="0.749992370372631"/>
        <bgColor indexed="64"/>
      </patternFill>
    </fill>
  </fills>
  <borders count="7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ck">
        <color theme="0"/>
      </right>
      <top/>
      <bottom/>
      <diagonal/>
    </border>
    <border>
      <left style="thin">
        <color theme="0"/>
      </left>
      <right style="thick">
        <color theme="0"/>
      </right>
      <top style="thin">
        <color theme="0"/>
      </top>
      <bottom style="thin">
        <color theme="0"/>
      </bottom>
      <diagonal/>
    </border>
    <border>
      <left style="thick">
        <color theme="0"/>
      </left>
      <right style="thin">
        <color theme="0"/>
      </right>
      <top style="thin">
        <color theme="0"/>
      </top>
      <bottom style="thin">
        <color theme="0"/>
      </bottom>
      <diagonal/>
    </border>
    <border>
      <left/>
      <right style="thick">
        <color theme="0"/>
      </right>
      <top style="thin">
        <color theme="0"/>
      </top>
      <bottom style="thin">
        <color theme="0"/>
      </bottom>
      <diagonal/>
    </border>
    <border>
      <left style="thin">
        <color theme="0"/>
      </left>
      <right style="thick">
        <color theme="0"/>
      </right>
      <top style="thin">
        <color theme="0"/>
      </top>
      <bottom/>
      <diagonal/>
    </border>
    <border>
      <left/>
      <right style="thick">
        <color theme="0"/>
      </right>
      <top style="thin">
        <color theme="0"/>
      </top>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thin">
        <color theme="0"/>
      </top>
      <bottom style="thin">
        <color theme="0"/>
      </bottom>
      <diagonal/>
    </border>
    <border>
      <left/>
      <right style="thin">
        <color theme="0"/>
      </right>
      <top/>
      <bottom style="thin">
        <color theme="0"/>
      </bottom>
      <diagonal/>
    </border>
    <border>
      <left style="thick">
        <color theme="0"/>
      </left>
      <right/>
      <top style="thin">
        <color theme="0"/>
      </top>
      <bottom style="thin">
        <color theme="0"/>
      </bottom>
      <diagonal/>
    </border>
    <border>
      <left/>
      <right/>
      <top/>
      <bottom style="thin">
        <color theme="0"/>
      </bottom>
      <diagonal/>
    </border>
    <border>
      <left style="dashDot">
        <color auto="1"/>
      </left>
      <right style="dashDot">
        <color auto="1"/>
      </right>
      <top style="dashDot">
        <color auto="1"/>
      </top>
      <bottom style="dashDot">
        <color auto="1"/>
      </bottom>
      <diagonal/>
    </border>
    <border>
      <left/>
      <right/>
      <top style="thin">
        <color theme="0"/>
      </top>
      <bottom/>
      <diagonal/>
    </border>
    <border>
      <left style="thin">
        <color theme="0"/>
      </left>
      <right/>
      <top style="thin">
        <color theme="0"/>
      </top>
      <bottom style="thin">
        <color theme="0"/>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indexed="64"/>
      </bottom>
      <diagonal/>
    </border>
    <border>
      <left style="thin">
        <color auto="1"/>
      </left>
      <right style="thin">
        <color auto="1"/>
      </right>
      <top/>
      <bottom style="thin">
        <color auto="1"/>
      </bottom>
      <diagonal/>
    </border>
    <border>
      <left style="thin">
        <color auto="1"/>
      </left>
      <right/>
      <top/>
      <bottom style="medium">
        <color indexed="64"/>
      </bottom>
      <diagonal/>
    </border>
    <border>
      <left style="thin">
        <color auto="1"/>
      </left>
      <right style="thin">
        <color auto="1"/>
      </right>
      <top/>
      <bottom style="medium">
        <color auto="1"/>
      </bottom>
      <diagonal/>
    </border>
    <border>
      <left style="thin">
        <color auto="1"/>
      </left>
      <right/>
      <top style="medium">
        <color indexed="64"/>
      </top>
      <bottom style="thin">
        <color indexed="64"/>
      </bottom>
      <diagonal/>
    </border>
    <border>
      <left/>
      <right/>
      <top/>
      <bottom style="thin">
        <color auto="1"/>
      </bottom>
      <diagonal/>
    </border>
    <border>
      <left style="thin">
        <color auto="1"/>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ck">
        <color theme="4" tint="0.499984740745262"/>
      </top>
      <bottom style="thin">
        <color indexed="64"/>
      </bottom>
      <diagonal/>
    </border>
    <border>
      <left/>
      <right/>
      <top style="thin">
        <color theme="4"/>
      </top>
      <bottom/>
      <diagonal/>
    </border>
    <border>
      <left style="medium">
        <color rgb="FF000000"/>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FEFFFF"/>
      </left>
      <right style="medium">
        <color rgb="FFFEFFFF"/>
      </right>
      <top style="medium">
        <color rgb="FFFEFFFF"/>
      </top>
      <bottom style="thick">
        <color rgb="FFFEFFFF"/>
      </bottom>
      <diagonal/>
    </border>
    <border>
      <left style="medium">
        <color rgb="FFFEFFFF"/>
      </left>
      <right style="medium">
        <color rgb="FFFEFFFF"/>
      </right>
      <top style="thick">
        <color rgb="FFFEFFFF"/>
      </top>
      <bottom style="medium">
        <color rgb="FFFEFFFF"/>
      </bottom>
      <diagonal/>
    </border>
    <border>
      <left style="medium">
        <color rgb="FFFEFFFF"/>
      </left>
      <right style="medium">
        <color rgb="FFFEFFFF"/>
      </right>
      <top style="medium">
        <color rgb="FFFEFFFF"/>
      </top>
      <bottom style="medium">
        <color rgb="FFFEFFFF"/>
      </bottom>
      <diagonal/>
    </border>
    <border>
      <left style="medium">
        <color rgb="FFFEFFFF"/>
      </left>
      <right/>
      <top style="medium">
        <color rgb="FFFEFFFF"/>
      </top>
      <bottom style="medium">
        <color rgb="FFFEFFFF"/>
      </bottom>
      <diagonal/>
    </border>
    <border>
      <left style="medium">
        <color rgb="FFFEFFFF"/>
      </left>
      <right style="medium">
        <color rgb="FFFEFFFF"/>
      </right>
      <top style="medium">
        <color rgb="FFFEFFFF"/>
      </top>
      <bottom/>
      <diagonal/>
    </border>
    <border>
      <left style="medium">
        <color rgb="FFFEFFFF"/>
      </left>
      <right style="medium">
        <color rgb="FFFEFFFF"/>
      </right>
      <top/>
      <bottom style="medium">
        <color rgb="FFFEFFFF"/>
      </bottom>
      <diagonal/>
    </border>
    <border>
      <left/>
      <right/>
      <top style="thin">
        <color auto="1"/>
      </top>
      <bottom/>
      <diagonal/>
    </border>
    <border>
      <left style="thin">
        <color auto="1"/>
      </left>
      <right style="medium">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top style="thick">
        <color theme="4" tint="0.499984740745262"/>
      </top>
      <bottom/>
      <diagonal/>
    </border>
    <border>
      <left/>
      <right/>
      <top style="double">
        <color theme="4"/>
      </top>
      <bottom/>
      <diagonal/>
    </border>
    <border>
      <left style="thick">
        <color theme="0"/>
      </left>
      <right/>
      <top style="thin">
        <color theme="0"/>
      </top>
      <bottom/>
      <diagonal/>
    </border>
    <border>
      <left style="thick">
        <color theme="0"/>
      </left>
      <right/>
      <top/>
      <bottom style="thin">
        <color theme="0"/>
      </bottom>
      <diagonal/>
    </border>
    <border>
      <left style="thick">
        <color theme="0"/>
      </left>
      <right/>
      <top/>
      <bottom/>
      <diagonal/>
    </border>
    <border>
      <left style="thick">
        <color theme="0"/>
      </left>
      <right style="thick">
        <color theme="0"/>
      </right>
      <top style="thin">
        <color theme="0"/>
      </top>
      <bottom style="thin">
        <color theme="0"/>
      </bottom>
      <diagonal/>
    </border>
    <border>
      <left style="thick">
        <color theme="0"/>
      </left>
      <right style="thin">
        <color theme="0"/>
      </right>
      <top style="thin">
        <color theme="0"/>
      </top>
      <bottom/>
      <diagonal/>
    </border>
    <border>
      <left/>
      <right style="thick">
        <color theme="0"/>
      </right>
      <top/>
      <bottom style="thin">
        <color theme="0"/>
      </bottom>
      <diagonal/>
    </border>
  </borders>
  <cellStyleXfs count="8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6" fillId="0" borderId="0" applyFont="0" applyFill="0" applyBorder="0" applyAlignment="0" applyProtection="0"/>
    <xf numFmtId="3" fontId="1" fillId="0" borderId="0"/>
    <xf numFmtId="170" fontId="7" fillId="0" borderId="0" applyFont="0" applyFill="0" applyBorder="0" applyAlignment="0" applyProtection="0"/>
    <xf numFmtId="9" fontId="7" fillId="0" borderId="0" applyFont="0" applyFill="0" applyBorder="0" applyAlignment="0" applyProtection="0"/>
    <xf numFmtId="0" fontId="8"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54" fillId="0" borderId="0" applyNumberFormat="0" applyFill="0" applyBorder="0" applyAlignment="0" applyProtection="0"/>
    <xf numFmtId="0" fontId="55" fillId="0" borderId="42" applyNumberFormat="0" applyFill="0" applyAlignment="0" applyProtection="0"/>
    <xf numFmtId="0" fontId="56" fillId="0" borderId="43" applyNumberFormat="0" applyFill="0" applyAlignment="0" applyProtection="0"/>
    <xf numFmtId="0" fontId="57" fillId="0" borderId="44" applyNumberFormat="0" applyFill="0" applyAlignment="0" applyProtection="0"/>
    <xf numFmtId="0" fontId="57" fillId="0" borderId="0" applyNumberFormat="0" applyFill="0" applyBorder="0" applyAlignment="0" applyProtection="0"/>
    <xf numFmtId="0" fontId="59" fillId="0" borderId="45" applyNumberFormat="0" applyFill="0" applyAlignment="0" applyProtection="0"/>
    <xf numFmtId="0" fontId="6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6" fillId="0" borderId="0"/>
  </cellStyleXfs>
  <cellXfs count="859">
    <xf numFmtId="0" fontId="0" fillId="0" borderId="0" xfId="0"/>
    <xf numFmtId="0" fontId="2" fillId="0" borderId="0" xfId="0" applyFont="1"/>
    <xf numFmtId="0" fontId="3" fillId="0" borderId="0" xfId="0" applyFont="1"/>
    <xf numFmtId="0" fontId="2" fillId="0" borderId="1" xfId="0" applyFont="1" applyBorder="1"/>
    <xf numFmtId="165" fontId="2" fillId="0" borderId="1" xfId="0" applyNumberFormat="1" applyFont="1" applyBorder="1"/>
    <xf numFmtId="1" fontId="2" fillId="0" borderId="1" xfId="0" applyNumberFormat="1" applyFont="1" applyBorder="1"/>
    <xf numFmtId="0" fontId="2" fillId="5" borderId="0" xfId="0" applyFont="1" applyFill="1"/>
    <xf numFmtId="167" fontId="2" fillId="0" borderId="0" xfId="3" applyNumberFormat="1" applyFont="1"/>
    <xf numFmtId="167" fontId="2" fillId="0" borderId="1" xfId="3" applyNumberFormat="1" applyFont="1" applyBorder="1"/>
    <xf numFmtId="0" fontId="2" fillId="7" borderId="1" xfId="0" applyFont="1" applyFill="1" applyBorder="1"/>
    <xf numFmtId="8" fontId="2" fillId="0" borderId="1" xfId="0" applyNumberFormat="1" applyFont="1" applyBorder="1"/>
    <xf numFmtId="164" fontId="2" fillId="0" borderId="1" xfId="1" applyNumberFormat="1" applyFont="1" applyBorder="1"/>
    <xf numFmtId="6" fontId="2" fillId="0" borderId="1" xfId="0" applyNumberFormat="1" applyFont="1" applyBorder="1"/>
    <xf numFmtId="6" fontId="2" fillId="0" borderId="1" xfId="2" applyNumberFormat="1" applyFont="1" applyBorder="1"/>
    <xf numFmtId="9" fontId="2" fillId="0" borderId="1" xfId="3" applyFont="1" applyBorder="1"/>
    <xf numFmtId="0" fontId="2" fillId="8" borderId="1" xfId="0" applyFont="1" applyFill="1" applyBorder="1"/>
    <xf numFmtId="164" fontId="2" fillId="0" borderId="1" xfId="0" applyNumberFormat="1" applyFont="1" applyBorder="1"/>
    <xf numFmtId="168" fontId="2" fillId="0" borderId="1" xfId="2" applyNumberFormat="1" applyFont="1" applyBorder="1"/>
    <xf numFmtId="166" fontId="2" fillId="0" borderId="1" xfId="1" applyNumberFormat="1" applyFont="1" applyBorder="1"/>
    <xf numFmtId="0" fontId="0" fillId="5" borderId="0" xfId="0" applyFill="1"/>
    <xf numFmtId="164" fontId="2" fillId="0" borderId="0" xfId="1" applyNumberFormat="1" applyFont="1"/>
    <xf numFmtId="177" fontId="2" fillId="0" borderId="0" xfId="0" applyNumberFormat="1" applyFont="1"/>
    <xf numFmtId="2" fontId="2" fillId="0" borderId="0" xfId="0" applyNumberFormat="1" applyFont="1"/>
    <xf numFmtId="0" fontId="2" fillId="0" borderId="0" xfId="0" applyFont="1" applyAlignment="1">
      <alignment horizontal="center" wrapText="1"/>
    </xf>
    <xf numFmtId="176" fontId="2" fillId="0" borderId="1" xfId="2" applyNumberFormat="1" applyFont="1" applyBorder="1"/>
    <xf numFmtId="168" fontId="2" fillId="0" borderId="1" xfId="0" applyNumberFormat="1" applyFont="1" applyBorder="1"/>
    <xf numFmtId="1" fontId="2" fillId="0" borderId="0" xfId="0" applyNumberFormat="1" applyFont="1" applyAlignment="1">
      <alignment horizontal="right"/>
    </xf>
    <xf numFmtId="1" fontId="2" fillId="0" borderId="1" xfId="1" applyNumberFormat="1" applyFont="1" applyBorder="1" applyAlignment="1">
      <alignment horizontal="right"/>
    </xf>
    <xf numFmtId="0" fontId="4" fillId="0" borderId="0" xfId="0" applyFont="1"/>
    <xf numFmtId="0" fontId="3" fillId="0" borderId="0" xfId="0" applyFont="1" applyAlignment="1">
      <alignment wrapText="1"/>
    </xf>
    <xf numFmtId="0" fontId="12" fillId="5" borderId="0" xfId="0" applyFont="1" applyFill="1"/>
    <xf numFmtId="0" fontId="17" fillId="5" borderId="0" xfId="0" applyFont="1" applyFill="1"/>
    <xf numFmtId="0" fontId="18" fillId="5" borderId="0" xfId="0" applyFont="1" applyFill="1"/>
    <xf numFmtId="168" fontId="17" fillId="5" borderId="0" xfId="2" applyNumberFormat="1" applyFont="1" applyFill="1" applyBorder="1"/>
    <xf numFmtId="0" fontId="17" fillId="5" borderId="0" xfId="0" applyFont="1" applyFill="1" applyAlignment="1">
      <alignment wrapText="1"/>
    </xf>
    <xf numFmtId="0" fontId="19" fillId="2" borderId="1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13" borderId="13" xfId="0" applyFont="1" applyFill="1" applyBorder="1"/>
    <xf numFmtId="0" fontId="18" fillId="9" borderId="0" xfId="0" applyFont="1" applyFill="1"/>
    <xf numFmtId="164" fontId="22" fillId="14" borderId="16" xfId="1" applyNumberFormat="1" applyFont="1" applyFill="1" applyBorder="1"/>
    <xf numFmtId="164" fontId="22" fillId="14" borderId="14" xfId="1" applyNumberFormat="1" applyFont="1" applyFill="1" applyBorder="1"/>
    <xf numFmtId="164" fontId="22" fillId="14" borderId="13" xfId="1" applyNumberFormat="1" applyFont="1" applyFill="1" applyBorder="1"/>
    <xf numFmtId="0" fontId="20" fillId="14" borderId="0" xfId="0" applyFont="1" applyFill="1"/>
    <xf numFmtId="0" fontId="20" fillId="14" borderId="18" xfId="0" applyFont="1" applyFill="1" applyBorder="1"/>
    <xf numFmtId="0" fontId="20" fillId="14" borderId="14" xfId="0" applyFont="1" applyFill="1" applyBorder="1"/>
    <xf numFmtId="168" fontId="22" fillId="14" borderId="16" xfId="2" applyNumberFormat="1" applyFont="1" applyFill="1" applyBorder="1"/>
    <xf numFmtId="168" fontId="22" fillId="14" borderId="14" xfId="2" applyNumberFormat="1" applyFont="1" applyFill="1" applyBorder="1"/>
    <xf numFmtId="168" fontId="22" fillId="14" borderId="13" xfId="2" applyNumberFormat="1" applyFont="1" applyFill="1" applyBorder="1"/>
    <xf numFmtId="0" fontId="22" fillId="5" borderId="0" xfId="0" applyFont="1" applyFill="1"/>
    <xf numFmtId="0" fontId="20" fillId="5" borderId="0" xfId="0" applyFont="1" applyFill="1"/>
    <xf numFmtId="0" fontId="19" fillId="2" borderId="13" xfId="0" applyFont="1" applyFill="1" applyBorder="1"/>
    <xf numFmtId="0" fontId="22" fillId="10" borderId="13" xfId="0" applyFont="1" applyFill="1" applyBorder="1"/>
    <xf numFmtId="0" fontId="23" fillId="5" borderId="13" xfId="0" applyFont="1" applyFill="1" applyBorder="1"/>
    <xf numFmtId="0" fontId="19" fillId="2" borderId="0" xfId="0" applyFont="1" applyFill="1"/>
    <xf numFmtId="168" fontId="22" fillId="14" borderId="14" xfId="0" applyNumberFormat="1" applyFont="1" applyFill="1" applyBorder="1"/>
    <xf numFmtId="44" fontId="22" fillId="14" borderId="14" xfId="0" applyNumberFormat="1" applyFont="1" applyFill="1" applyBorder="1"/>
    <xf numFmtId="0" fontId="19" fillId="2" borderId="15" xfId="0" applyFont="1" applyFill="1" applyBorder="1"/>
    <xf numFmtId="168" fontId="22" fillId="14" borderId="16" xfId="0" applyNumberFormat="1" applyFont="1" applyFill="1" applyBorder="1"/>
    <xf numFmtId="44" fontId="22" fillId="14" borderId="16" xfId="0" applyNumberFormat="1" applyFont="1" applyFill="1" applyBorder="1"/>
    <xf numFmtId="0" fontId="19" fillId="2" borderId="19" xfId="0" applyFont="1" applyFill="1" applyBorder="1"/>
    <xf numFmtId="164" fontId="22" fillId="14" borderId="18" xfId="1" applyNumberFormat="1" applyFont="1" applyFill="1" applyBorder="1"/>
    <xf numFmtId="0" fontId="19" fillId="2" borderId="20" xfId="0" applyFont="1" applyFill="1" applyBorder="1"/>
    <xf numFmtId="168" fontId="22" fillId="14" borderId="18" xfId="0" applyNumberFormat="1" applyFont="1" applyFill="1" applyBorder="1"/>
    <xf numFmtId="44" fontId="22" fillId="14" borderId="18" xfId="0" applyNumberFormat="1" applyFont="1" applyFill="1" applyBorder="1"/>
    <xf numFmtId="0" fontId="19" fillId="13" borderId="16" xfId="0" applyFont="1" applyFill="1" applyBorder="1" applyAlignment="1">
      <alignment horizontal="center" vertical="center"/>
    </xf>
    <xf numFmtId="0" fontId="22" fillId="10" borderId="16" xfId="0" applyFont="1" applyFill="1" applyBorder="1"/>
    <xf numFmtId="168" fontId="22" fillId="14" borderId="18" xfId="2" applyNumberFormat="1" applyFont="1" applyFill="1" applyBorder="1"/>
    <xf numFmtId="0" fontId="22" fillId="10" borderId="16" xfId="0" applyFont="1" applyFill="1" applyBorder="1" applyAlignment="1">
      <alignment wrapText="1"/>
    </xf>
    <xf numFmtId="0" fontId="20" fillId="10" borderId="16" xfId="0" applyFont="1" applyFill="1" applyBorder="1" applyAlignment="1">
      <alignment wrapText="1"/>
    </xf>
    <xf numFmtId="0" fontId="19" fillId="13" borderId="14" xfId="0" applyFont="1" applyFill="1" applyBorder="1"/>
    <xf numFmtId="0" fontId="24" fillId="9" borderId="0" xfId="0" applyFont="1" applyFill="1"/>
    <xf numFmtId="0" fontId="20" fillId="9" borderId="0" xfId="0" applyFont="1" applyFill="1"/>
    <xf numFmtId="0" fontId="22" fillId="9" borderId="0" xfId="0" applyFont="1" applyFill="1"/>
    <xf numFmtId="0" fontId="3" fillId="11" borderId="11" xfId="0" applyFont="1" applyFill="1" applyBorder="1" applyAlignment="1">
      <alignment horizontal="center" wrapText="1"/>
    </xf>
    <xf numFmtId="164" fontId="2" fillId="0" borderId="1" xfId="1" applyNumberFormat="1" applyFont="1" applyFill="1" applyBorder="1" applyAlignment="1">
      <alignment horizontal="right" wrapText="1"/>
    </xf>
    <xf numFmtId="0" fontId="28" fillId="0" borderId="1" xfId="4" applyFont="1" applyBorder="1" applyAlignment="1">
      <alignment horizontal="left"/>
    </xf>
    <xf numFmtId="0" fontId="5" fillId="12" borderId="1" xfId="4" applyFont="1" applyFill="1" applyBorder="1" applyAlignment="1">
      <alignment horizontal="right"/>
    </xf>
    <xf numFmtId="0" fontId="28" fillId="0" borderId="1" xfId="0" applyFont="1" applyBorder="1"/>
    <xf numFmtId="0" fontId="5" fillId="0" borderId="1" xfId="4" applyFont="1" applyBorder="1" applyAlignment="1">
      <alignment horizontal="left"/>
    </xf>
    <xf numFmtId="0" fontId="5" fillId="0" borderId="1" xfId="4" applyFont="1" applyBorder="1" applyAlignment="1">
      <alignment horizontal="left" indent="1"/>
    </xf>
    <xf numFmtId="0" fontId="5" fillId="0" borderId="1" xfId="9" applyFont="1" applyBorder="1" applyAlignment="1">
      <alignment horizontal="left" indent="1"/>
    </xf>
    <xf numFmtId="0" fontId="5" fillId="0" borderId="6" xfId="4" applyFont="1" applyBorder="1" applyAlignment="1">
      <alignment horizontal="left" indent="1"/>
    </xf>
    <xf numFmtId="175" fontId="2" fillId="0" borderId="1" xfId="0" applyNumberFormat="1" applyFont="1" applyBorder="1"/>
    <xf numFmtId="0" fontId="5" fillId="0" borderId="6" xfId="4" applyFont="1" applyBorder="1" applyAlignment="1">
      <alignment horizontal="left" indent="2"/>
    </xf>
    <xf numFmtId="2" fontId="2" fillId="0" borderId="1" xfId="0" applyNumberFormat="1" applyFont="1" applyBorder="1"/>
    <xf numFmtId="0" fontId="28" fillId="0" borderId="6" xfId="4" applyFont="1" applyBorder="1" applyAlignment="1">
      <alignment horizontal="left"/>
    </xf>
    <xf numFmtId="0" fontId="5" fillId="0" borderId="1" xfId="4" applyFont="1" applyBorder="1" applyAlignment="1">
      <alignment horizontal="right"/>
    </xf>
    <xf numFmtId="0" fontId="5" fillId="0" borderId="9" xfId="4" applyFont="1" applyBorder="1" applyAlignment="1">
      <alignment horizontal="left" indent="1"/>
    </xf>
    <xf numFmtId="164" fontId="5" fillId="0" borderId="1" xfId="4" applyNumberFormat="1" applyFont="1" applyBorder="1" applyAlignment="1">
      <alignment horizontal="right"/>
    </xf>
    <xf numFmtId="175" fontId="3" fillId="0" borderId="1" xfId="0" applyNumberFormat="1" applyFont="1" applyBorder="1"/>
    <xf numFmtId="2" fontId="2" fillId="0" borderId="1" xfId="0" applyNumberFormat="1" applyFont="1" applyBorder="1" applyAlignment="1">
      <alignment horizontal="center"/>
    </xf>
    <xf numFmtId="0" fontId="28" fillId="0" borderId="0" xfId="4" applyFont="1"/>
    <xf numFmtId="168" fontId="3" fillId="0" borderId="1" xfId="0" applyNumberFormat="1" applyFont="1" applyBorder="1"/>
    <xf numFmtId="44" fontId="2" fillId="0" borderId="1" xfId="0" applyNumberFormat="1" applyFont="1" applyBorder="1"/>
    <xf numFmtId="44" fontId="2" fillId="0" borderId="1" xfId="2" applyFont="1" applyFill="1" applyBorder="1"/>
    <xf numFmtId="0" fontId="22" fillId="10" borderId="0" xfId="0" applyFont="1" applyFill="1" applyAlignment="1">
      <alignment wrapText="1"/>
    </xf>
    <xf numFmtId="168" fontId="22" fillId="14" borderId="0" xfId="2" applyNumberFormat="1" applyFont="1" applyFill="1" applyBorder="1"/>
    <xf numFmtId="0" fontId="35" fillId="0" borderId="0" xfId="0" applyFont="1"/>
    <xf numFmtId="0" fontId="3" fillId="3" borderId="1" xfId="0" applyFont="1" applyFill="1" applyBorder="1"/>
    <xf numFmtId="0" fontId="36" fillId="3" borderId="1" xfId="0" applyFont="1" applyFill="1" applyBorder="1"/>
    <xf numFmtId="0" fontId="2" fillId="9" borderId="1" xfId="0" applyFont="1" applyFill="1" applyBorder="1"/>
    <xf numFmtId="0" fontId="11" fillId="0" borderId="1" xfId="0" applyFont="1" applyBorder="1"/>
    <xf numFmtId="0" fontId="35" fillId="0" borderId="0" xfId="0" applyFont="1" applyAlignment="1">
      <alignment wrapText="1"/>
    </xf>
    <xf numFmtId="0" fontId="35" fillId="0" borderId="1" xfId="0" applyFont="1" applyBorder="1" applyAlignment="1">
      <alignment wrapText="1"/>
    </xf>
    <xf numFmtId="6" fontId="35" fillId="0" borderId="1" xfId="0" applyNumberFormat="1" applyFont="1" applyBorder="1" applyAlignment="1">
      <alignment wrapText="1"/>
    </xf>
    <xf numFmtId="9" fontId="35" fillId="0" borderId="1" xfId="0" applyNumberFormat="1" applyFont="1" applyBorder="1" applyAlignment="1">
      <alignment wrapText="1"/>
    </xf>
    <xf numFmtId="8" fontId="35" fillId="0" borderId="1" xfId="0" applyNumberFormat="1" applyFont="1" applyBorder="1" applyAlignment="1">
      <alignment wrapText="1"/>
    </xf>
    <xf numFmtId="10" fontId="35" fillId="0" borderId="1" xfId="0" applyNumberFormat="1" applyFont="1" applyBorder="1" applyAlignment="1">
      <alignment wrapText="1"/>
    </xf>
    <xf numFmtId="166" fontId="35" fillId="0" borderId="1" xfId="1" applyNumberFormat="1" applyFont="1" applyFill="1" applyBorder="1" applyAlignment="1">
      <alignment wrapText="1"/>
    </xf>
    <xf numFmtId="9" fontId="35" fillId="0" borderId="1" xfId="3" applyFont="1" applyFill="1" applyBorder="1" applyAlignment="1">
      <alignment wrapText="1"/>
    </xf>
    <xf numFmtId="0" fontId="2" fillId="17" borderId="1" xfId="0" applyFont="1" applyFill="1" applyBorder="1" applyAlignment="1">
      <alignment horizontal="center" wrapText="1"/>
    </xf>
    <xf numFmtId="0" fontId="3" fillId="17" borderId="1" xfId="0" applyFont="1" applyFill="1" applyBorder="1" applyAlignment="1">
      <alignment wrapText="1"/>
    </xf>
    <xf numFmtId="0" fontId="3" fillId="17" borderId="1" xfId="0" applyFont="1" applyFill="1" applyBorder="1" applyAlignment="1">
      <alignment horizontal="center" wrapText="1"/>
    </xf>
    <xf numFmtId="0" fontId="2" fillId="17" borderId="1" xfId="0" applyFont="1" applyFill="1" applyBorder="1"/>
    <xf numFmtId="164" fontId="2" fillId="17" borderId="1" xfId="0" applyNumberFormat="1" applyFont="1" applyFill="1" applyBorder="1"/>
    <xf numFmtId="168" fontId="2" fillId="17" borderId="1" xfId="2" applyNumberFormat="1" applyFont="1" applyFill="1" applyBorder="1"/>
    <xf numFmtId="164" fontId="22" fillId="14" borderId="25" xfId="1" applyNumberFormat="1" applyFont="1" applyFill="1" applyBorder="1"/>
    <xf numFmtId="0" fontId="29" fillId="5" borderId="0" xfId="0" applyFont="1" applyFill="1" applyProtection="1">
      <protection locked="0"/>
    </xf>
    <xf numFmtId="9" fontId="29" fillId="5" borderId="0" xfId="0" applyNumberFormat="1" applyFont="1" applyFill="1" applyProtection="1">
      <protection locked="0"/>
    </xf>
    <xf numFmtId="0" fontId="29" fillId="5" borderId="0" xfId="0" applyFont="1" applyFill="1" applyAlignment="1" applyProtection="1">
      <alignment vertical="top"/>
      <protection locked="0"/>
    </xf>
    <xf numFmtId="0" fontId="16" fillId="9" borderId="0" xfId="0" applyFont="1" applyFill="1" applyAlignment="1">
      <alignment horizontal="right"/>
    </xf>
    <xf numFmtId="164" fontId="29" fillId="5" borderId="29" xfId="1" applyNumberFormat="1" applyFont="1" applyFill="1" applyBorder="1" applyAlignment="1" applyProtection="1">
      <protection locked="0"/>
    </xf>
    <xf numFmtId="0" fontId="44" fillId="13" borderId="16" xfId="0" applyFont="1" applyFill="1" applyBorder="1" applyAlignment="1">
      <alignment horizontal="center" wrapText="1"/>
    </xf>
    <xf numFmtId="178" fontId="2" fillId="0" borderId="0" xfId="0" applyNumberFormat="1" applyFont="1"/>
    <xf numFmtId="44" fontId="2" fillId="0" borderId="0" xfId="0" applyNumberFormat="1" applyFont="1"/>
    <xf numFmtId="167" fontId="2" fillId="9" borderId="1" xfId="3" applyNumberFormat="1" applyFont="1" applyFill="1" applyBorder="1"/>
    <xf numFmtId="0" fontId="5" fillId="0" borderId="32" xfId="4" applyFont="1" applyBorder="1" applyAlignment="1">
      <alignment horizontal="left"/>
    </xf>
    <xf numFmtId="0" fontId="5" fillId="0" borderId="35" xfId="4" applyFont="1" applyBorder="1" applyAlignment="1">
      <alignment horizontal="left" indent="1"/>
    </xf>
    <xf numFmtId="175" fontId="2" fillId="0" borderId="24" xfId="0" applyNumberFormat="1" applyFont="1" applyBorder="1"/>
    <xf numFmtId="0" fontId="5" fillId="0" borderId="32" xfId="4" applyFont="1" applyBorder="1" applyAlignment="1">
      <alignment horizontal="left" indent="1"/>
    </xf>
    <xf numFmtId="2" fontId="2" fillId="0" borderId="36" xfId="0" applyNumberFormat="1" applyFont="1" applyBorder="1"/>
    <xf numFmtId="0" fontId="28" fillId="0" borderId="35" xfId="4" applyFont="1" applyBorder="1" applyAlignment="1">
      <alignment horizontal="left"/>
    </xf>
    <xf numFmtId="175" fontId="3" fillId="0" borderId="24" xfId="0" applyNumberFormat="1" applyFont="1" applyBorder="1"/>
    <xf numFmtId="0" fontId="28" fillId="0" borderId="37" xfId="4" applyFont="1" applyBorder="1" applyAlignment="1">
      <alignment horizontal="left"/>
    </xf>
    <xf numFmtId="175" fontId="3" fillId="0" borderId="38" xfId="0" applyNumberFormat="1" applyFont="1" applyBorder="1"/>
    <xf numFmtId="0" fontId="28" fillId="0" borderId="32" xfId="4" applyFont="1" applyBorder="1" applyAlignment="1">
      <alignment horizontal="left" indent="1"/>
    </xf>
    <xf numFmtId="0" fontId="5" fillId="0" borderId="39" xfId="4" applyFont="1" applyBorder="1" applyAlignment="1">
      <alignment horizontal="left"/>
    </xf>
    <xf numFmtId="169" fontId="2" fillId="0" borderId="23" xfId="0" applyNumberFormat="1" applyFont="1" applyBorder="1"/>
    <xf numFmtId="168" fontId="5" fillId="0" borderId="1" xfId="2" applyNumberFormat="1" applyFont="1" applyFill="1" applyBorder="1" applyAlignment="1">
      <alignment horizontal="right"/>
    </xf>
    <xf numFmtId="175" fontId="2" fillId="0" borderId="36" xfId="0" applyNumberFormat="1" applyFont="1" applyBorder="1"/>
    <xf numFmtId="175" fontId="5" fillId="0" borderId="1" xfId="2" applyNumberFormat="1" applyFont="1" applyFill="1" applyBorder="1"/>
    <xf numFmtId="3" fontId="5" fillId="0" borderId="1" xfId="1" applyNumberFormat="1" applyFont="1" applyFill="1" applyBorder="1" applyAlignment="1">
      <alignment horizontal="center"/>
    </xf>
    <xf numFmtId="0" fontId="28" fillId="0" borderId="24" xfId="4" applyFont="1" applyBorder="1" applyAlignment="1">
      <alignment horizontal="left"/>
    </xf>
    <xf numFmtId="2" fontId="2" fillId="18" borderId="1" xfId="0" applyNumberFormat="1" applyFont="1" applyFill="1" applyBorder="1" applyAlignment="1">
      <alignment horizontal="center"/>
    </xf>
    <xf numFmtId="2" fontId="5" fillId="18" borderId="1" xfId="1" applyNumberFormat="1" applyFont="1" applyFill="1" applyBorder="1" applyAlignment="1">
      <alignment horizontal="center"/>
    </xf>
    <xf numFmtId="0" fontId="28" fillId="0" borderId="1" xfId="4" applyFont="1" applyBorder="1"/>
    <xf numFmtId="0" fontId="5" fillId="9" borderId="6" xfId="4" applyFont="1" applyFill="1" applyBorder="1" applyAlignment="1">
      <alignment horizontal="left" wrapText="1"/>
    </xf>
    <xf numFmtId="3" fontId="2" fillId="0" borderId="1" xfId="0" applyNumberFormat="1" applyFont="1" applyBorder="1"/>
    <xf numFmtId="0" fontId="5" fillId="0" borderId="0" xfId="0" applyFont="1"/>
    <xf numFmtId="0" fontId="28" fillId="19" borderId="10" xfId="4" applyFont="1" applyFill="1" applyBorder="1" applyAlignment="1">
      <alignment horizontal="center" vertical="center"/>
    </xf>
    <xf numFmtId="2" fontId="3" fillId="0" borderId="0" xfId="0" applyNumberFormat="1" applyFont="1"/>
    <xf numFmtId="0" fontId="2" fillId="0" borderId="2" xfId="0" applyFont="1" applyBorder="1"/>
    <xf numFmtId="9" fontId="2" fillId="0" borderId="0" xfId="0" applyNumberFormat="1" applyFont="1"/>
    <xf numFmtId="9" fontId="4" fillId="0" borderId="1" xfId="0" applyNumberFormat="1" applyFont="1" applyBorder="1"/>
    <xf numFmtId="9" fontId="2" fillId="0" borderId="1" xfId="0" applyNumberFormat="1" applyFont="1" applyBorder="1"/>
    <xf numFmtId="0" fontId="2" fillId="3" borderId="1" xfId="0" applyFont="1" applyFill="1" applyBorder="1"/>
    <xf numFmtId="0" fontId="2" fillId="3" borderId="1" xfId="0" applyFont="1" applyFill="1" applyBorder="1" applyAlignment="1">
      <alignment horizontal="center"/>
    </xf>
    <xf numFmtId="0" fontId="2" fillId="4" borderId="1" xfId="0" applyFont="1" applyFill="1" applyBorder="1"/>
    <xf numFmtId="164" fontId="2" fillId="3" borderId="1" xfId="1" applyNumberFormat="1" applyFont="1" applyFill="1" applyBorder="1"/>
    <xf numFmtId="0" fontId="2" fillId="3" borderId="1" xfId="0" applyFont="1" applyFill="1" applyBorder="1" applyAlignment="1">
      <alignment wrapText="1"/>
    </xf>
    <xf numFmtId="0" fontId="2" fillId="3" borderId="1" xfId="4" applyFont="1" applyFill="1" applyBorder="1" applyAlignment="1">
      <alignment wrapText="1"/>
    </xf>
    <xf numFmtId="1" fontId="2" fillId="0" borderId="1" xfId="0" applyNumberFormat="1" applyFont="1" applyBorder="1" applyAlignment="1">
      <alignment horizontal="center"/>
    </xf>
    <xf numFmtId="1" fontId="2" fillId="0" borderId="0" xfId="0" applyNumberFormat="1" applyFont="1"/>
    <xf numFmtId="0" fontId="2" fillId="6" borderId="1" xfId="0" applyFont="1" applyFill="1" applyBorder="1"/>
    <xf numFmtId="44" fontId="2" fillId="0" borderId="1" xfId="2" applyFont="1" applyBorder="1" applyAlignment="1">
      <alignment horizontal="center"/>
    </xf>
    <xf numFmtId="44" fontId="2" fillId="0" borderId="0" xfId="2" applyFont="1" applyBorder="1"/>
    <xf numFmtId="0" fontId="2" fillId="0" borderId="0" xfId="0" applyFont="1" applyAlignment="1">
      <alignment wrapText="1"/>
    </xf>
    <xf numFmtId="0" fontId="2" fillId="3" borderId="1" xfId="0" applyFont="1" applyFill="1" applyBorder="1" applyAlignment="1">
      <alignment horizontal="center" wrapText="1"/>
    </xf>
    <xf numFmtId="0" fontId="2" fillId="0" borderId="0" xfId="0" applyFont="1" applyAlignment="1">
      <alignment horizontal="center"/>
    </xf>
    <xf numFmtId="165" fontId="2" fillId="0" borderId="1" xfId="0" applyNumberFormat="1" applyFont="1" applyBorder="1" applyAlignment="1">
      <alignment horizontal="center"/>
    </xf>
    <xf numFmtId="0" fontId="2" fillId="0" borderId="0" xfId="0" applyFont="1" applyAlignment="1">
      <alignment vertical="center" wrapText="1"/>
    </xf>
    <xf numFmtId="44" fontId="2" fillId="0" borderId="0" xfId="2" applyFont="1" applyFill="1" applyBorder="1" applyAlignment="1">
      <alignment horizontal="center"/>
    </xf>
    <xf numFmtId="1" fontId="2" fillId="0" borderId="0" xfId="0" applyNumberFormat="1" applyFont="1" applyAlignment="1">
      <alignment horizontal="center"/>
    </xf>
    <xf numFmtId="44" fontId="2" fillId="0" borderId="0" xfId="2" applyFont="1" applyFill="1" applyBorder="1" applyAlignment="1">
      <alignment horizontal="center" vertical="center"/>
    </xf>
    <xf numFmtId="44" fontId="2" fillId="0" borderId="0" xfId="0" applyNumberFormat="1" applyFont="1" applyAlignment="1">
      <alignment horizontal="center"/>
    </xf>
    <xf numFmtId="9" fontId="2" fillId="0" borderId="0" xfId="3" applyFont="1" applyBorder="1"/>
    <xf numFmtId="166" fontId="2" fillId="0" borderId="1" xfId="1" applyNumberFormat="1" applyFont="1" applyFill="1" applyBorder="1"/>
    <xf numFmtId="43" fontId="2" fillId="0" borderId="1" xfId="1" applyFont="1" applyFill="1" applyBorder="1"/>
    <xf numFmtId="0" fontId="2" fillId="9" borderId="1" xfId="2" applyNumberFormat="1" applyFont="1" applyFill="1" applyBorder="1"/>
    <xf numFmtId="44" fontId="2" fillId="10" borderId="1" xfId="2" applyFont="1" applyFill="1" applyBorder="1" applyAlignment="1">
      <alignment horizontal="left" vertical="top" wrapText="1"/>
    </xf>
    <xf numFmtId="44" fontId="2" fillId="0" borderId="1" xfId="2" applyFont="1" applyBorder="1"/>
    <xf numFmtId="179" fontId="2" fillId="0" borderId="1" xfId="2" applyNumberFormat="1" applyFont="1" applyFill="1" applyBorder="1" applyAlignment="1">
      <alignment horizontal="center"/>
    </xf>
    <xf numFmtId="0" fontId="3" fillId="19" borderId="0" xfId="0" applyFont="1" applyFill="1"/>
    <xf numFmtId="0" fontId="46" fillId="0" borderId="0" xfId="0" applyFont="1"/>
    <xf numFmtId="0" fontId="47" fillId="0" borderId="0" xfId="0" applyFont="1"/>
    <xf numFmtId="0" fontId="2" fillId="0" borderId="0" xfId="4" applyFont="1"/>
    <xf numFmtId="0" fontId="2" fillId="0" borderId="0" xfId="4" applyFont="1" applyAlignment="1">
      <alignment horizontal="right"/>
    </xf>
    <xf numFmtId="9" fontId="2" fillId="0" borderId="0" xfId="3" applyFont="1"/>
    <xf numFmtId="3" fontId="2" fillId="0" borderId="0" xfId="6" applyFont="1"/>
    <xf numFmtId="0" fontId="5" fillId="0" borderId="0" xfId="4" applyFont="1" applyAlignment="1">
      <alignment horizontal="left" indent="1"/>
    </xf>
    <xf numFmtId="9" fontId="2" fillId="0" borderId="0" xfId="8" applyFont="1" applyAlignment="1">
      <alignment horizontal="center"/>
    </xf>
    <xf numFmtId="172" fontId="5" fillId="0" borderId="0" xfId="4" applyNumberFormat="1" applyFont="1" applyAlignment="1">
      <alignment horizontal="center"/>
    </xf>
    <xf numFmtId="0" fontId="48" fillId="0" borderId="0" xfId="4" applyFont="1" applyAlignment="1">
      <alignment horizontal="left"/>
    </xf>
    <xf numFmtId="168" fontId="2" fillId="0" borderId="0" xfId="2" applyNumberFormat="1" applyFont="1"/>
    <xf numFmtId="0" fontId="5" fillId="0" borderId="0" xfId="9" applyFont="1" applyAlignment="1">
      <alignment horizontal="left" indent="1"/>
    </xf>
    <xf numFmtId="44" fontId="2" fillId="0" borderId="0" xfId="2" applyFont="1"/>
    <xf numFmtId="44" fontId="5" fillId="0" borderId="0" xfId="2" applyFont="1"/>
    <xf numFmtId="168" fontId="2" fillId="0" borderId="0" xfId="4" applyNumberFormat="1" applyFont="1"/>
    <xf numFmtId="0" fontId="3" fillId="0" borderId="0" xfId="4" applyFont="1"/>
    <xf numFmtId="0" fontId="5" fillId="0" borderId="0" xfId="4" applyFont="1"/>
    <xf numFmtId="0" fontId="5" fillId="0" borderId="0" xfId="4" applyFont="1" applyAlignment="1">
      <alignment horizontal="center"/>
    </xf>
    <xf numFmtId="0" fontId="5" fillId="0" borderId="0" xfId="0" applyFont="1" applyAlignment="1">
      <alignment horizontal="center" wrapText="1"/>
    </xf>
    <xf numFmtId="9" fontId="5" fillId="0" borderId="0" xfId="3" applyFont="1" applyBorder="1" applyAlignment="1">
      <alignment horizontal="center"/>
    </xf>
    <xf numFmtId="164" fontId="5" fillId="0" borderId="0" xfId="1" applyNumberFormat="1" applyFont="1" applyBorder="1"/>
    <xf numFmtId="0" fontId="28" fillId="0" borderId="0" xfId="4" applyFont="1" applyAlignment="1">
      <alignment horizontal="left"/>
    </xf>
    <xf numFmtId="9" fontId="5" fillId="0" borderId="0" xfId="4" applyNumberFormat="1" applyFont="1" applyAlignment="1">
      <alignment horizontal="center"/>
    </xf>
    <xf numFmtId="164" fontId="5" fillId="0" borderId="0" xfId="1" applyNumberFormat="1" applyFont="1" applyBorder="1" applyAlignment="1">
      <alignment horizontal="center"/>
    </xf>
    <xf numFmtId="0" fontId="5" fillId="12" borderId="0" xfId="4" applyFont="1" applyFill="1" applyAlignment="1">
      <alignment horizontal="right"/>
    </xf>
    <xf numFmtId="0" fontId="5" fillId="12" borderId="0" xfId="4" applyFont="1" applyFill="1" applyAlignment="1">
      <alignment horizontal="center"/>
    </xf>
    <xf numFmtId="0" fontId="28" fillId="0" borderId="0" xfId="0" applyFont="1"/>
    <xf numFmtId="0" fontId="5" fillId="0" borderId="0" xfId="4" applyFont="1" applyAlignment="1">
      <alignment horizontal="left"/>
    </xf>
    <xf numFmtId="168" fontId="5" fillId="0" borderId="0" xfId="2" applyNumberFormat="1" applyFont="1" applyFill="1" applyBorder="1" applyAlignment="1">
      <alignment horizontal="right"/>
    </xf>
    <xf numFmtId="164" fontId="5" fillId="0" borderId="0" xfId="1" applyNumberFormat="1" applyFont="1" applyFill="1" applyBorder="1" applyAlignment="1">
      <alignment horizontal="center"/>
    </xf>
    <xf numFmtId="168" fontId="5" fillId="3" borderId="0" xfId="2" applyNumberFormat="1" applyFont="1" applyFill="1" applyBorder="1" applyAlignment="1">
      <alignment horizontal="right"/>
    </xf>
    <xf numFmtId="168" fontId="5" fillId="0" borderId="0" xfId="2" applyNumberFormat="1" applyFont="1" applyBorder="1"/>
    <xf numFmtId="0" fontId="5" fillId="0" borderId="0" xfId="4" applyFont="1" applyAlignment="1">
      <alignment horizontal="left" indent="2"/>
    </xf>
    <xf numFmtId="168" fontId="5" fillId="3" borderId="0" xfId="2" applyNumberFormat="1" applyFont="1" applyFill="1" applyBorder="1"/>
    <xf numFmtId="168" fontId="5" fillId="0" borderId="0" xfId="2" applyNumberFormat="1" applyFont="1" applyFill="1" applyBorder="1"/>
    <xf numFmtId="0" fontId="28" fillId="0" borderId="0" xfId="4" applyFont="1" applyAlignment="1">
      <alignment horizontal="center"/>
    </xf>
    <xf numFmtId="168" fontId="5" fillId="0" borderId="0" xfId="2" applyNumberFormat="1" applyFont="1" applyBorder="1" applyAlignment="1">
      <alignment horizontal="right"/>
    </xf>
    <xf numFmtId="168" fontId="5" fillId="0" borderId="0" xfId="1" applyNumberFormat="1" applyFont="1" applyBorder="1" applyAlignment="1">
      <alignment horizontal="right"/>
    </xf>
    <xf numFmtId="0" fontId="28" fillId="0" borderId="0" xfId="4" applyFont="1" applyAlignment="1">
      <alignment horizontal="left" indent="1"/>
    </xf>
    <xf numFmtId="172" fontId="28" fillId="0" borderId="0" xfId="4" applyNumberFormat="1" applyFont="1" applyAlignment="1">
      <alignment horizontal="center"/>
    </xf>
    <xf numFmtId="168" fontId="28" fillId="0" borderId="0" xfId="1" applyNumberFormat="1" applyFont="1" applyBorder="1" applyAlignment="1">
      <alignment horizontal="right"/>
    </xf>
    <xf numFmtId="43" fontId="5" fillId="0" borderId="0" xfId="1" applyFont="1" applyBorder="1" applyAlignment="1">
      <alignment horizontal="center"/>
    </xf>
    <xf numFmtId="6" fontId="5" fillId="0" borderId="0" xfId="4" applyNumberFormat="1" applyFont="1" applyAlignment="1">
      <alignment horizontal="center"/>
    </xf>
    <xf numFmtId="168" fontId="5" fillId="0" borderId="0" xfId="2" applyNumberFormat="1" applyFont="1" applyBorder="1" applyAlignment="1"/>
    <xf numFmtId="0" fontId="5" fillId="0" borderId="0" xfId="4" applyFont="1" applyAlignment="1">
      <alignment horizontal="left" wrapText="1"/>
    </xf>
    <xf numFmtId="169" fontId="28" fillId="0" borderId="0" xfId="1" applyNumberFormat="1" applyFont="1" applyBorder="1" applyAlignment="1">
      <alignment horizontal="right"/>
    </xf>
    <xf numFmtId="9" fontId="2" fillId="9" borderId="0" xfId="3" applyFont="1" applyFill="1"/>
    <xf numFmtId="164" fontId="5" fillId="0" borderId="0" xfId="4" applyNumberFormat="1" applyFont="1" applyAlignment="1">
      <alignment horizontal="center"/>
    </xf>
    <xf numFmtId="168" fontId="5" fillId="0" borderId="0" xfId="4" applyNumberFormat="1" applyFont="1" applyAlignment="1">
      <alignment horizontal="center"/>
    </xf>
    <xf numFmtId="168" fontId="5" fillId="0" borderId="0" xfId="2" applyNumberFormat="1" applyFont="1"/>
    <xf numFmtId="168" fontId="5" fillId="0" borderId="0" xfId="4" applyNumberFormat="1" applyFont="1"/>
    <xf numFmtId="44" fontId="2" fillId="0" borderId="0" xfId="4" applyNumberFormat="1" applyFont="1"/>
    <xf numFmtId="0" fontId="49" fillId="0" borderId="0" xfId="4" applyFont="1"/>
    <xf numFmtId="0" fontId="49" fillId="0" borderId="0" xfId="4" applyFont="1" applyAlignment="1">
      <alignment horizontal="center" wrapText="1"/>
    </xf>
    <xf numFmtId="2" fontId="5" fillId="0" borderId="0" xfId="4" applyNumberFormat="1" applyFont="1"/>
    <xf numFmtId="164" fontId="5" fillId="0" borderId="0" xfId="4" applyNumberFormat="1" applyFont="1"/>
    <xf numFmtId="0" fontId="28" fillId="0" borderId="10" xfId="4" applyFont="1" applyBorder="1" applyAlignment="1">
      <alignment horizontal="center" vertical="center"/>
    </xf>
    <xf numFmtId="0" fontId="50" fillId="5" borderId="12" xfId="0" applyFont="1" applyFill="1" applyBorder="1" applyAlignment="1">
      <alignment horizontal="center" vertical="center" wrapText="1"/>
    </xf>
    <xf numFmtId="0" fontId="50" fillId="5" borderId="7" xfId="0" applyFont="1" applyFill="1" applyBorder="1" applyAlignment="1">
      <alignment horizontal="center" vertical="center" wrapText="1"/>
    </xf>
    <xf numFmtId="0" fontId="50" fillId="5" borderId="8" xfId="0" applyFont="1" applyFill="1" applyBorder="1" applyAlignment="1">
      <alignment horizontal="center" vertical="center" wrapText="1"/>
    </xf>
    <xf numFmtId="7" fontId="2" fillId="0" borderId="1" xfId="2" applyNumberFormat="1" applyFont="1" applyBorder="1"/>
    <xf numFmtId="5" fontId="2" fillId="0" borderId="1" xfId="2" applyNumberFormat="1" applyFont="1" applyBorder="1"/>
    <xf numFmtId="0" fontId="51" fillId="9" borderId="0" xfId="0" applyFont="1" applyFill="1"/>
    <xf numFmtId="0" fontId="2" fillId="9" borderId="1" xfId="0" applyFont="1" applyFill="1" applyBorder="1" applyAlignment="1">
      <alignment horizontal="left" wrapText="1" indent="1"/>
    </xf>
    <xf numFmtId="0" fontId="19" fillId="20" borderId="14" xfId="0" applyFont="1" applyFill="1" applyBorder="1"/>
    <xf numFmtId="0" fontId="19" fillId="20" borderId="13" xfId="0" applyFont="1" applyFill="1" applyBorder="1"/>
    <xf numFmtId="0" fontId="2" fillId="20" borderId="1" xfId="0" applyFont="1" applyFill="1" applyBorder="1"/>
    <xf numFmtId="0" fontId="2" fillId="3" borderId="6" xfId="0" applyFont="1" applyFill="1" applyBorder="1" applyAlignment="1">
      <alignment horizontal="center"/>
    </xf>
    <xf numFmtId="165" fontId="2" fillId="0" borderId="6" xfId="0" applyNumberFormat="1" applyFont="1" applyBorder="1" applyAlignment="1">
      <alignment horizontal="center"/>
    </xf>
    <xf numFmtId="1" fontId="2" fillId="0" borderId="6" xfId="0" applyNumberFormat="1" applyFont="1" applyBorder="1" applyAlignment="1">
      <alignment horizontal="center"/>
    </xf>
    <xf numFmtId="0" fontId="3" fillId="20" borderId="0" xfId="0" applyFont="1" applyFill="1"/>
    <xf numFmtId="0" fontId="2" fillId="20" borderId="0" xfId="0" applyFont="1" applyFill="1"/>
    <xf numFmtId="43" fontId="2" fillId="0" borderId="0" xfId="1" applyFont="1"/>
    <xf numFmtId="44" fontId="2" fillId="21" borderId="1" xfId="2" applyFont="1" applyFill="1" applyBorder="1" applyAlignment="1">
      <alignment horizontal="center"/>
    </xf>
    <xf numFmtId="6" fontId="2" fillId="21" borderId="1" xfId="0" applyNumberFormat="1" applyFont="1" applyFill="1" applyBorder="1"/>
    <xf numFmtId="0" fontId="2" fillId="21" borderId="1" xfId="0" applyFont="1" applyFill="1" applyBorder="1"/>
    <xf numFmtId="44" fontId="29" fillId="21" borderId="29" xfId="2" applyFont="1" applyFill="1" applyBorder="1" applyAlignment="1" applyProtection="1">
      <protection locked="0"/>
    </xf>
    <xf numFmtId="9" fontId="29" fillId="21" borderId="0" xfId="0" applyNumberFormat="1" applyFont="1" applyFill="1" applyProtection="1">
      <protection locked="0"/>
    </xf>
    <xf numFmtId="0" fontId="29" fillId="21" borderId="0" xfId="0" applyFont="1" applyFill="1" applyProtection="1">
      <protection locked="0"/>
    </xf>
    <xf numFmtId="0" fontId="29" fillId="21" borderId="0" xfId="0" applyFont="1" applyFill="1" applyAlignment="1" applyProtection="1">
      <alignment vertical="top"/>
      <protection locked="0"/>
    </xf>
    <xf numFmtId="0" fontId="2" fillId="20" borderId="1" xfId="0" applyFont="1" applyFill="1" applyBorder="1" applyAlignment="1">
      <alignment wrapText="1"/>
    </xf>
    <xf numFmtId="0" fontId="3" fillId="20" borderId="1" xfId="0" applyFont="1" applyFill="1" applyBorder="1" applyAlignment="1">
      <alignment wrapText="1"/>
    </xf>
    <xf numFmtId="3" fontId="2" fillId="21" borderId="1" xfId="0" applyNumberFormat="1" applyFont="1" applyFill="1" applyBorder="1"/>
    <xf numFmtId="0" fontId="2" fillId="0" borderId="6" xfId="0" applyFont="1" applyBorder="1"/>
    <xf numFmtId="3" fontId="2" fillId="0" borderId="6" xfId="0" applyNumberFormat="1" applyFont="1" applyBorder="1"/>
    <xf numFmtId="165" fontId="2" fillId="0" borderId="6" xfId="0" applyNumberFormat="1" applyFont="1" applyBorder="1"/>
    <xf numFmtId="164" fontId="2" fillId="0" borderId="6" xfId="1" applyNumberFormat="1" applyFont="1" applyBorder="1"/>
    <xf numFmtId="167" fontId="2" fillId="0" borderId="6" xfId="3" applyNumberFormat="1" applyFont="1" applyBorder="1"/>
    <xf numFmtId="0" fontId="2" fillId="21" borderId="2" xfId="0" applyFont="1" applyFill="1" applyBorder="1"/>
    <xf numFmtId="3" fontId="2" fillId="21" borderId="2" xfId="0" applyNumberFormat="1" applyFont="1" applyFill="1" applyBorder="1"/>
    <xf numFmtId="0" fontId="3" fillId="0" borderId="0" xfId="0" applyFont="1" applyAlignment="1">
      <alignment horizontal="center" wrapText="1"/>
    </xf>
    <xf numFmtId="3" fontId="2" fillId="0" borderId="0" xfId="0" applyNumberFormat="1" applyFont="1"/>
    <xf numFmtId="165" fontId="2" fillId="0" borderId="0" xfId="0" applyNumberFormat="1" applyFont="1"/>
    <xf numFmtId="164" fontId="2" fillId="0" borderId="0" xfId="1" applyNumberFormat="1" applyFont="1" applyFill="1" applyBorder="1"/>
    <xf numFmtId="167" fontId="2" fillId="0" borderId="0" xfId="3" applyNumberFormat="1" applyFont="1" applyFill="1" applyBorder="1"/>
    <xf numFmtId="0" fontId="46" fillId="21" borderId="1" xfId="0" applyFont="1" applyFill="1" applyBorder="1"/>
    <xf numFmtId="9" fontId="46" fillId="21" borderId="1" xfId="0" applyNumberFormat="1" applyFont="1" applyFill="1" applyBorder="1"/>
    <xf numFmtId="8" fontId="46" fillId="21" borderId="1" xfId="0" applyNumberFormat="1" applyFont="1" applyFill="1" applyBorder="1"/>
    <xf numFmtId="0" fontId="46" fillId="22" borderId="1" xfId="0" applyFont="1" applyFill="1" applyBorder="1"/>
    <xf numFmtId="164" fontId="46" fillId="21" borderId="1" xfId="1" applyNumberFormat="1" applyFont="1" applyFill="1" applyBorder="1"/>
    <xf numFmtId="6" fontId="46" fillId="21" borderId="1" xfId="0" applyNumberFormat="1" applyFont="1" applyFill="1" applyBorder="1"/>
    <xf numFmtId="168" fontId="46" fillId="21" borderId="1" xfId="2" applyNumberFormat="1" applyFont="1" applyFill="1" applyBorder="1"/>
    <xf numFmtId="44" fontId="46" fillId="21" borderId="1" xfId="0" applyNumberFormat="1" applyFont="1" applyFill="1" applyBorder="1"/>
    <xf numFmtId="6" fontId="2" fillId="21" borderId="1" xfId="2" applyNumberFormat="1" applyFont="1" applyFill="1" applyBorder="1"/>
    <xf numFmtId="164" fontId="2" fillId="21" borderId="1" xfId="0" applyNumberFormat="1" applyFont="1" applyFill="1" applyBorder="1"/>
    <xf numFmtId="168" fontId="2" fillId="21" borderId="1" xfId="2" applyNumberFormat="1" applyFont="1" applyFill="1" applyBorder="1"/>
    <xf numFmtId="0" fontId="3" fillId="20" borderId="1" xfId="0" applyFont="1" applyFill="1" applyBorder="1" applyAlignment="1">
      <alignment horizontal="center" wrapText="1"/>
    </xf>
    <xf numFmtId="0" fontId="2" fillId="22" borderId="1" xfId="0" applyFont="1" applyFill="1" applyBorder="1"/>
    <xf numFmtId="44" fontId="2" fillId="21" borderId="1" xfId="2" applyFont="1" applyFill="1" applyBorder="1"/>
    <xf numFmtId="168" fontId="2" fillId="21" borderId="1" xfId="0" applyNumberFormat="1" applyFont="1" applyFill="1" applyBorder="1"/>
    <xf numFmtId="168" fontId="2" fillId="0" borderId="0" xfId="2" applyNumberFormat="1" applyFont="1" applyBorder="1"/>
    <xf numFmtId="164" fontId="2" fillId="0" borderId="0" xfId="0" applyNumberFormat="1" applyFont="1"/>
    <xf numFmtId="164" fontId="2" fillId="21" borderId="1" xfId="1" applyNumberFormat="1" applyFont="1" applyFill="1" applyBorder="1"/>
    <xf numFmtId="167" fontId="2" fillId="21" borderId="1" xfId="0" applyNumberFormat="1" applyFont="1" applyFill="1" applyBorder="1"/>
    <xf numFmtId="165" fontId="2" fillId="21" borderId="1" xfId="0" applyNumberFormat="1" applyFont="1" applyFill="1" applyBorder="1"/>
    <xf numFmtId="9" fontId="2" fillId="21" borderId="1" xfId="3" applyFont="1" applyFill="1" applyBorder="1"/>
    <xf numFmtId="165" fontId="2" fillId="21" borderId="1" xfId="0" applyNumberFormat="1" applyFont="1" applyFill="1" applyBorder="1" applyAlignment="1">
      <alignment vertical="center" wrapText="1"/>
    </xf>
    <xf numFmtId="165" fontId="2" fillId="9" borderId="1" xfId="0" applyNumberFormat="1" applyFont="1" applyFill="1" applyBorder="1"/>
    <xf numFmtId="0" fontId="2" fillId="23" borderId="0" xfId="0" applyFont="1" applyFill="1"/>
    <xf numFmtId="0" fontId="2" fillId="0" borderId="1" xfId="4" applyFont="1" applyBorder="1"/>
    <xf numFmtId="0" fontId="2" fillId="0" borderId="1" xfId="4" applyFont="1" applyBorder="1" applyAlignment="1">
      <alignment horizontal="center"/>
    </xf>
    <xf numFmtId="0" fontId="2" fillId="0" borderId="1" xfId="4" applyFont="1" applyBorder="1" applyAlignment="1">
      <alignment horizontal="center" wrapText="1"/>
    </xf>
    <xf numFmtId="6" fontId="2" fillId="0" borderId="1" xfId="4" applyNumberFormat="1" applyFont="1" applyBorder="1"/>
    <xf numFmtId="6" fontId="11" fillId="0" borderId="1" xfId="6" applyNumberFormat="1" applyFont="1" applyBorder="1"/>
    <xf numFmtId="3" fontId="2" fillId="0" borderId="1" xfId="6" applyFont="1" applyBorder="1"/>
    <xf numFmtId="8" fontId="2" fillId="9" borderId="1" xfId="4" applyNumberFormat="1" applyFont="1" applyFill="1" applyBorder="1"/>
    <xf numFmtId="9" fontId="2" fillId="9" borderId="1" xfId="4" applyNumberFormat="1" applyFont="1" applyFill="1" applyBorder="1"/>
    <xf numFmtId="169" fontId="46" fillId="0" borderId="0" xfId="0" applyNumberFormat="1" applyFont="1"/>
    <xf numFmtId="44" fontId="46" fillId="0" borderId="0" xfId="0" applyNumberFormat="1" applyFont="1"/>
    <xf numFmtId="168" fontId="2" fillId="0" borderId="0" xfId="0" applyNumberFormat="1" applyFont="1"/>
    <xf numFmtId="9" fontId="2" fillId="9" borderId="1" xfId="0" applyNumberFormat="1" applyFont="1" applyFill="1" applyBorder="1"/>
    <xf numFmtId="1" fontId="2" fillId="9" borderId="1" xfId="0" applyNumberFormat="1" applyFont="1" applyFill="1" applyBorder="1"/>
    <xf numFmtId="165" fontId="2" fillId="9" borderId="1" xfId="0" applyNumberFormat="1" applyFont="1" applyFill="1" applyBorder="1" applyAlignment="1">
      <alignment horizontal="center"/>
    </xf>
    <xf numFmtId="165" fontId="2" fillId="9" borderId="6" xfId="0" applyNumberFormat="1" applyFont="1" applyFill="1" applyBorder="1" applyAlignment="1">
      <alignment horizontal="center"/>
    </xf>
    <xf numFmtId="0" fontId="5" fillId="0" borderId="0" xfId="0" applyFont="1" applyAlignment="1">
      <alignment horizontal="center"/>
    </xf>
    <xf numFmtId="2" fontId="11" fillId="0" borderId="0" xfId="0" applyNumberFormat="1" applyFont="1"/>
    <xf numFmtId="0" fontId="11" fillId="0" borderId="0" xfId="0" applyFont="1"/>
    <xf numFmtId="164" fontId="5" fillId="0" borderId="0" xfId="1" applyNumberFormat="1" applyFont="1" applyFill="1" applyBorder="1"/>
    <xf numFmtId="0" fontId="5" fillId="0" borderId="0" xfId="4" applyFont="1" applyAlignment="1">
      <alignment horizontal="right"/>
    </xf>
    <xf numFmtId="168" fontId="5" fillId="0" borderId="0" xfId="1" applyNumberFormat="1" applyFont="1" applyFill="1" applyBorder="1" applyAlignment="1">
      <alignment horizontal="right"/>
    </xf>
    <xf numFmtId="168" fontId="28" fillId="0" borderId="0" xfId="1" applyNumberFormat="1" applyFont="1" applyFill="1" applyBorder="1" applyAlignment="1">
      <alignment horizontal="right"/>
    </xf>
    <xf numFmtId="169" fontId="28" fillId="0" borderId="0" xfId="1" applyNumberFormat="1" applyFont="1" applyFill="1" applyBorder="1" applyAlignment="1">
      <alignment horizontal="right"/>
    </xf>
    <xf numFmtId="168" fontId="5" fillId="9" borderId="0" xfId="2" applyNumberFormat="1" applyFont="1" applyFill="1" applyBorder="1" applyAlignment="1">
      <alignment horizontal="right"/>
    </xf>
    <xf numFmtId="3" fontId="5" fillId="3" borderId="0" xfId="1" applyNumberFormat="1" applyFont="1" applyFill="1" applyBorder="1" applyAlignment="1">
      <alignment horizontal="right"/>
    </xf>
    <xf numFmtId="168" fontId="2" fillId="0" borderId="0" xfId="2" applyNumberFormat="1" applyFont="1" applyAlignment="1">
      <alignment horizontal="right"/>
    </xf>
    <xf numFmtId="174" fontId="2" fillId="0" borderId="0" xfId="2" applyNumberFormat="1" applyFont="1" applyAlignment="1">
      <alignment horizontal="right"/>
    </xf>
    <xf numFmtId="1" fontId="5" fillId="9" borderId="1" xfId="1" applyNumberFormat="1" applyFont="1" applyFill="1" applyBorder="1" applyAlignment="1">
      <alignment horizontal="right"/>
    </xf>
    <xf numFmtId="10" fontId="2" fillId="9" borderId="1" xfId="4" applyNumberFormat="1" applyFont="1" applyFill="1" applyBorder="1" applyAlignment="1">
      <alignment horizontal="right"/>
    </xf>
    <xf numFmtId="9" fontId="2" fillId="9" borderId="1" xfId="4" applyNumberFormat="1" applyFont="1" applyFill="1" applyBorder="1" applyAlignment="1">
      <alignment horizontal="right"/>
    </xf>
    <xf numFmtId="171" fontId="5" fillId="9" borderId="1" xfId="4" applyNumberFormat="1" applyFont="1" applyFill="1" applyBorder="1" applyAlignment="1">
      <alignment horizontal="right"/>
    </xf>
    <xf numFmtId="172" fontId="5" fillId="9" borderId="1" xfId="4" applyNumberFormat="1" applyFont="1" applyFill="1" applyBorder="1" applyAlignment="1">
      <alignment horizontal="right"/>
    </xf>
    <xf numFmtId="0" fontId="2" fillId="0" borderId="1" xfId="4" applyFont="1" applyBorder="1" applyAlignment="1">
      <alignment horizontal="right"/>
    </xf>
    <xf numFmtId="173" fontId="2" fillId="9" borderId="1" xfId="2" applyNumberFormat="1" applyFont="1" applyFill="1" applyBorder="1" applyAlignment="1">
      <alignment horizontal="right"/>
    </xf>
    <xf numFmtId="0" fontId="48" fillId="0" borderId="1" xfId="4" applyFont="1" applyBorder="1" applyAlignment="1">
      <alignment horizontal="left"/>
    </xf>
    <xf numFmtId="173" fontId="2" fillId="0" borderId="1" xfId="2" applyNumberFormat="1" applyFont="1" applyBorder="1" applyAlignment="1">
      <alignment horizontal="right"/>
    </xf>
    <xf numFmtId="0" fontId="48" fillId="0" borderId="1" xfId="4" applyFont="1" applyBorder="1" applyAlignment="1">
      <alignment horizontal="left" indent="1"/>
    </xf>
    <xf numFmtId="44" fontId="2" fillId="9" borderId="1" xfId="2" applyFont="1" applyFill="1" applyBorder="1" applyAlignment="1">
      <alignment horizontal="right"/>
    </xf>
    <xf numFmtId="3" fontId="2" fillId="0" borderId="1" xfId="6" applyFont="1" applyBorder="1" applyAlignment="1">
      <alignment horizontal="right"/>
    </xf>
    <xf numFmtId="3" fontId="2" fillId="9" borderId="1" xfId="6" applyFont="1" applyFill="1" applyBorder="1" applyAlignment="1">
      <alignment horizontal="right"/>
    </xf>
    <xf numFmtId="180" fontId="2" fillId="0" borderId="1" xfId="6" applyNumberFormat="1" applyFont="1" applyBorder="1" applyAlignment="1">
      <alignment horizontal="right"/>
    </xf>
    <xf numFmtId="180" fontId="2" fillId="9" borderId="1" xfId="6" applyNumberFormat="1" applyFont="1" applyFill="1" applyBorder="1" applyAlignment="1">
      <alignment horizontal="right"/>
    </xf>
    <xf numFmtId="168" fontId="2" fillId="9" borderId="1" xfId="2" applyNumberFormat="1" applyFont="1" applyFill="1" applyBorder="1" applyAlignment="1">
      <alignment horizontal="right"/>
    </xf>
    <xf numFmtId="44" fontId="2" fillId="0" borderId="1" xfId="2" applyFont="1" applyBorder="1" applyAlignment="1">
      <alignment horizontal="right"/>
    </xf>
    <xf numFmtId="165" fontId="2" fillId="9" borderId="1" xfId="6" applyNumberFormat="1" applyFont="1" applyFill="1" applyBorder="1" applyAlignment="1">
      <alignment horizontal="right"/>
    </xf>
    <xf numFmtId="168" fontId="2" fillId="9" borderId="1" xfId="4" applyNumberFormat="1" applyFont="1" applyFill="1" applyBorder="1" applyAlignment="1">
      <alignment horizontal="right"/>
    </xf>
    <xf numFmtId="44" fontId="5" fillId="9" borderId="1" xfId="2" applyFont="1" applyFill="1" applyBorder="1" applyAlignment="1">
      <alignment horizontal="right"/>
    </xf>
    <xf numFmtId="165" fontId="5" fillId="0" borderId="0" xfId="1" applyNumberFormat="1" applyFont="1" applyBorder="1" applyAlignment="1">
      <alignment horizontal="right"/>
    </xf>
    <xf numFmtId="165" fontId="5" fillId="0" borderId="0" xfId="4" applyNumberFormat="1" applyFont="1" applyAlignment="1">
      <alignment horizontal="right"/>
    </xf>
    <xf numFmtId="165" fontId="5" fillId="3" borderId="0" xfId="1" applyNumberFormat="1" applyFont="1" applyFill="1" applyBorder="1" applyAlignment="1">
      <alignment horizontal="right"/>
    </xf>
    <xf numFmtId="0" fontId="53" fillId="0" borderId="0" xfId="72" applyFont="1"/>
    <xf numFmtId="165" fontId="2" fillId="9" borderId="5" xfId="0" applyNumberFormat="1" applyFont="1" applyFill="1" applyBorder="1"/>
    <xf numFmtId="165" fontId="2" fillId="21" borderId="5" xfId="0" applyNumberFormat="1" applyFont="1" applyFill="1" applyBorder="1"/>
    <xf numFmtId="165" fontId="2" fillId="21" borderId="1" xfId="2" applyNumberFormat="1" applyFont="1" applyFill="1" applyBorder="1" applyAlignment="1">
      <alignment horizontal="right"/>
    </xf>
    <xf numFmtId="44" fontId="2" fillId="0" borderId="0" xfId="2" applyFont="1" applyFill="1" applyBorder="1" applyAlignment="1">
      <alignment horizontal="left"/>
    </xf>
    <xf numFmtId="0" fontId="2" fillId="0" borderId="0" xfId="0" applyFont="1" applyAlignment="1">
      <alignment horizontal="left" vertical="center" wrapText="1"/>
    </xf>
    <xf numFmtId="0" fontId="2" fillId="0" borderId="0" xfId="0" applyFont="1" applyAlignment="1">
      <alignment horizontal="left" wrapText="1"/>
    </xf>
    <xf numFmtId="2" fontId="2" fillId="9" borderId="1" xfId="4" applyNumberFormat="1" applyFont="1" applyFill="1" applyBorder="1" applyAlignment="1">
      <alignment horizontal="right"/>
    </xf>
    <xf numFmtId="0" fontId="2" fillId="9" borderId="1" xfId="4" applyFont="1" applyFill="1" applyBorder="1" applyAlignment="1">
      <alignment horizontal="right"/>
    </xf>
    <xf numFmtId="9" fontId="2" fillId="21" borderId="1" xfId="3" applyFont="1" applyFill="1" applyBorder="1" applyAlignment="1">
      <alignment wrapText="1"/>
    </xf>
    <xf numFmtId="2" fontId="2" fillId="21" borderId="2" xfId="0" applyNumberFormat="1" applyFont="1" applyFill="1" applyBorder="1"/>
    <xf numFmtId="2" fontId="2" fillId="21" borderId="1" xfId="0" applyNumberFormat="1" applyFont="1" applyFill="1" applyBorder="1"/>
    <xf numFmtId="164" fontId="2" fillId="0" borderId="0" xfId="4" applyNumberFormat="1" applyFont="1"/>
    <xf numFmtId="43" fontId="2" fillId="0" borderId="0" xfId="4" applyNumberFormat="1" applyFont="1"/>
    <xf numFmtId="1" fontId="2" fillId="21" borderId="1" xfId="0" applyNumberFormat="1" applyFont="1" applyFill="1" applyBorder="1"/>
    <xf numFmtId="2" fontId="5" fillId="9" borderId="0" xfId="4" applyNumberFormat="1" applyFont="1" applyFill="1" applyAlignment="1">
      <alignment horizontal="right"/>
    </xf>
    <xf numFmtId="0" fontId="3" fillId="20" borderId="5" xfId="0" applyFont="1" applyFill="1" applyBorder="1" applyAlignment="1">
      <alignment horizontal="center" wrapText="1"/>
    </xf>
    <xf numFmtId="169" fontId="2" fillId="0" borderId="0" xfId="4" applyNumberFormat="1" applyFont="1"/>
    <xf numFmtId="164" fontId="35" fillId="0" borderId="1" xfId="1" applyNumberFormat="1" applyFont="1" applyFill="1" applyBorder="1" applyAlignment="1">
      <alignment wrapText="1"/>
    </xf>
    <xf numFmtId="175" fontId="46" fillId="21" borderId="1" xfId="0" applyNumberFormat="1" applyFont="1" applyFill="1" applyBorder="1"/>
    <xf numFmtId="171" fontId="5" fillId="9" borderId="1" xfId="2" applyNumberFormat="1" applyFont="1" applyFill="1" applyBorder="1" applyAlignment="1">
      <alignment horizontal="right"/>
    </xf>
    <xf numFmtId="0" fontId="2" fillId="20" borderId="1" xfId="0" applyFont="1" applyFill="1" applyBorder="1" applyAlignment="1">
      <alignment horizontal="center" wrapText="1"/>
    </xf>
    <xf numFmtId="0" fontId="2" fillId="21" borderId="6" xfId="0" applyFont="1" applyFill="1" applyBorder="1"/>
    <xf numFmtId="3" fontId="2" fillId="21" borderId="6" xfId="0" applyNumberFormat="1" applyFont="1" applyFill="1" applyBorder="1"/>
    <xf numFmtId="0" fontId="2" fillId="22" borderId="6" xfId="0" applyFont="1" applyFill="1" applyBorder="1"/>
    <xf numFmtId="0" fontId="2" fillId="0" borderId="41" xfId="0" applyFont="1" applyBorder="1"/>
    <xf numFmtId="1" fontId="5" fillId="3" borderId="0" xfId="2" applyNumberFormat="1" applyFont="1" applyFill="1" applyBorder="1"/>
    <xf numFmtId="44" fontId="2" fillId="0" borderId="1" xfId="2" applyFont="1" applyFill="1" applyBorder="1" applyAlignment="1">
      <alignment horizontal="right"/>
    </xf>
    <xf numFmtId="168" fontId="28" fillId="0" borderId="0" xfId="2" applyNumberFormat="1" applyFont="1" applyBorder="1" applyAlignment="1">
      <alignment horizontal="right"/>
    </xf>
    <xf numFmtId="164" fontId="0" fillId="0" borderId="0" xfId="1" applyNumberFormat="1" applyFont="1"/>
    <xf numFmtId="0" fontId="0" fillId="0" borderId="0" xfId="0" applyAlignment="1">
      <alignment horizontal="center"/>
    </xf>
    <xf numFmtId="3" fontId="0" fillId="0" borderId="0" xfId="0" applyNumberFormat="1"/>
    <xf numFmtId="0" fontId="61" fillId="0" borderId="0" xfId="0" applyFont="1"/>
    <xf numFmtId="0" fontId="62" fillId="0" borderId="0" xfId="0" applyFont="1"/>
    <xf numFmtId="0" fontId="0" fillId="0" borderId="0" xfId="0" applyAlignment="1">
      <alignment horizontal="right"/>
    </xf>
    <xf numFmtId="0" fontId="63" fillId="0" borderId="1" xfId="82" applyFont="1" applyBorder="1"/>
    <xf numFmtId="0" fontId="63" fillId="27" borderId="1" xfId="82" applyFont="1" applyFill="1" applyBorder="1"/>
    <xf numFmtId="0" fontId="54" fillId="28" borderId="0" xfId="73" applyFill="1" applyAlignment="1">
      <alignment horizontal="left"/>
    </xf>
    <xf numFmtId="0" fontId="56" fillId="0" borderId="43" xfId="75"/>
    <xf numFmtId="0" fontId="60" fillId="24" borderId="0" xfId="79" applyAlignment="1">
      <alignment horizontal="right"/>
    </xf>
    <xf numFmtId="164" fontId="58" fillId="25" borderId="0" xfId="1" applyNumberFormat="1" applyFont="1" applyFill="1"/>
    <xf numFmtId="44" fontId="0" fillId="0" borderId="0" xfId="0" applyNumberFormat="1"/>
    <xf numFmtId="0" fontId="59" fillId="0" borderId="0" xfId="0" applyFont="1" applyAlignment="1">
      <alignment horizontal="right"/>
    </xf>
    <xf numFmtId="0" fontId="0" fillId="0" borderId="46" xfId="0" applyBorder="1" applyAlignment="1">
      <alignment horizontal="center"/>
    </xf>
    <xf numFmtId="0" fontId="0" fillId="0" borderId="0" xfId="0" applyAlignment="1">
      <alignment horizontal="right" indent="1"/>
    </xf>
    <xf numFmtId="182" fontId="63" fillId="0" borderId="1" xfId="1" applyNumberFormat="1" applyFont="1" applyBorder="1"/>
    <xf numFmtId="0" fontId="59" fillId="0" borderId="45" xfId="78" applyAlignment="1">
      <alignment horizontal="right"/>
    </xf>
    <xf numFmtId="44" fontId="59" fillId="0" borderId="45" xfId="78" applyNumberFormat="1"/>
    <xf numFmtId="2" fontId="63" fillId="0" borderId="1" xfId="82" applyNumberFormat="1" applyFont="1" applyBorder="1"/>
    <xf numFmtId="0" fontId="59" fillId="0" borderId="40" xfId="0" applyFont="1" applyBorder="1" applyAlignment="1">
      <alignment horizontal="right"/>
    </xf>
    <xf numFmtId="164" fontId="59" fillId="0" borderId="40" xfId="0" applyNumberFormat="1" applyFont="1" applyBorder="1"/>
    <xf numFmtId="0" fontId="59" fillId="0" borderId="40" xfId="0" applyFont="1" applyBorder="1"/>
    <xf numFmtId="164" fontId="59" fillId="0" borderId="0" xfId="0" applyNumberFormat="1" applyFont="1"/>
    <xf numFmtId="0" fontId="59" fillId="0" borderId="0" xfId="0" applyFont="1"/>
    <xf numFmtId="49" fontId="63" fillId="0" borderId="1" xfId="82" applyNumberFormat="1" applyFont="1" applyBorder="1" applyAlignment="1">
      <alignment horizontal="right"/>
    </xf>
    <xf numFmtId="0" fontId="63" fillId="27" borderId="1" xfId="82" applyFont="1" applyFill="1" applyBorder="1" applyAlignment="1">
      <alignment horizontal="left"/>
    </xf>
    <xf numFmtId="166" fontId="59" fillId="0" borderId="0" xfId="0" applyNumberFormat="1" applyFont="1"/>
    <xf numFmtId="43" fontId="0" fillId="0" borderId="0" xfId="0" applyNumberFormat="1"/>
    <xf numFmtId="43" fontId="59" fillId="0" borderId="0" xfId="1" applyFont="1"/>
    <xf numFmtId="165" fontId="63" fillId="29" borderId="1" xfId="82" applyNumberFormat="1" applyFont="1" applyFill="1" applyBorder="1"/>
    <xf numFmtId="9" fontId="0" fillId="0" borderId="0" xfId="3" applyFont="1" applyAlignment="1">
      <alignment horizontal="center"/>
    </xf>
    <xf numFmtId="43" fontId="59" fillId="0" borderId="0" xfId="0" applyNumberFormat="1" applyFont="1"/>
    <xf numFmtId="1" fontId="63" fillId="0" borderId="1" xfId="82" applyNumberFormat="1" applyFont="1" applyBorder="1"/>
    <xf numFmtId="164" fontId="1" fillId="30" borderId="0" xfId="1" applyNumberFormat="1" applyFill="1"/>
    <xf numFmtId="44" fontId="0" fillId="0" borderId="0" xfId="2" applyFont="1"/>
    <xf numFmtId="164" fontId="1" fillId="25" borderId="0" xfId="1" applyNumberFormat="1" applyFill="1"/>
    <xf numFmtId="0" fontId="63" fillId="31" borderId="1" xfId="82" applyFont="1" applyFill="1" applyBorder="1"/>
    <xf numFmtId="1" fontId="63" fillId="31" borderId="1" xfId="82" applyNumberFormat="1" applyFont="1" applyFill="1" applyBorder="1"/>
    <xf numFmtId="168" fontId="59" fillId="0" borderId="45" xfId="78" applyNumberFormat="1"/>
    <xf numFmtId="182" fontId="63" fillId="0" borderId="1" xfId="82" applyNumberFormat="1" applyFont="1" applyBorder="1"/>
    <xf numFmtId="0" fontId="59" fillId="0" borderId="47" xfId="78" applyBorder="1" applyAlignment="1">
      <alignment horizontal="right"/>
    </xf>
    <xf numFmtId="168" fontId="59" fillId="0" borderId="47" xfId="78" applyNumberFormat="1" applyBorder="1"/>
    <xf numFmtId="0" fontId="58" fillId="0" borderId="0" xfId="0" applyFont="1"/>
    <xf numFmtId="0" fontId="55" fillId="0" borderId="42" xfId="74"/>
    <xf numFmtId="164" fontId="55" fillId="0" borderId="42" xfId="1" applyNumberFormat="1" applyFont="1" applyBorder="1"/>
    <xf numFmtId="0" fontId="64" fillId="5" borderId="42" xfId="74" applyFont="1" applyFill="1" applyAlignment="1">
      <alignment horizontal="center"/>
    </xf>
    <xf numFmtId="164" fontId="63" fillId="0" borderId="1" xfId="1" applyNumberFormat="1" applyFont="1" applyBorder="1"/>
    <xf numFmtId="0" fontId="56" fillId="0" borderId="43" xfId="75" applyFill="1"/>
    <xf numFmtId="164" fontId="57" fillId="0" borderId="43" xfId="1" applyNumberFormat="1" applyFont="1" applyFill="1" applyBorder="1" applyAlignment="1">
      <alignment horizontal="center"/>
    </xf>
    <xf numFmtId="0" fontId="57" fillId="0" borderId="43" xfId="77" applyFill="1" applyBorder="1" applyAlignment="1">
      <alignment horizontal="center"/>
    </xf>
    <xf numFmtId="0" fontId="57" fillId="0" borderId="43" xfId="77" applyFill="1" applyBorder="1" applyAlignment="1">
      <alignment horizontal="center" wrapText="1"/>
    </xf>
    <xf numFmtId="168" fontId="0" fillId="0" borderId="0" xfId="2" applyNumberFormat="1" applyFont="1"/>
    <xf numFmtId="164" fontId="0" fillId="31" borderId="0" xfId="0" applyNumberFormat="1" applyFill="1"/>
    <xf numFmtId="0" fontId="63" fillId="31" borderId="9" xfId="82" applyFont="1" applyFill="1" applyBorder="1"/>
    <xf numFmtId="164" fontId="0" fillId="0" borderId="0" xfId="0" applyNumberFormat="1"/>
    <xf numFmtId="164" fontId="0" fillId="0" borderId="0" xfId="1" applyNumberFormat="1" applyFont="1" applyFill="1"/>
    <xf numFmtId="168" fontId="0" fillId="31" borderId="0" xfId="2" applyNumberFormat="1" applyFont="1" applyFill="1"/>
    <xf numFmtId="0" fontId="0" fillId="31" borderId="0" xfId="0" applyFill="1"/>
    <xf numFmtId="168" fontId="0" fillId="23" borderId="0" xfId="2" applyNumberFormat="1" applyFont="1" applyFill="1"/>
    <xf numFmtId="5" fontId="65" fillId="0" borderId="0" xfId="0" applyNumberFormat="1" applyFont="1" applyAlignment="1">
      <alignment horizontal="left"/>
    </xf>
    <xf numFmtId="168" fontId="0" fillId="0" borderId="0" xfId="2" applyNumberFormat="1" applyFont="1" applyFill="1"/>
    <xf numFmtId="168" fontId="59" fillId="32" borderId="45" xfId="78" applyNumberFormat="1" applyFill="1"/>
    <xf numFmtId="164" fontId="56" fillId="0" borderId="43" xfId="1" applyNumberFormat="1" applyFont="1" applyBorder="1"/>
    <xf numFmtId="0" fontId="56" fillId="0" borderId="43" xfId="75" applyAlignment="1">
      <alignment horizontal="center"/>
    </xf>
    <xf numFmtId="5" fontId="67" fillId="0" borderId="0" xfId="0" applyNumberFormat="1" applyFont="1" applyAlignment="1">
      <alignment horizontal="center"/>
    </xf>
    <xf numFmtId="0" fontId="68" fillId="0" borderId="0" xfId="0" applyFont="1" applyAlignment="1">
      <alignment horizontal="left" indent="1"/>
    </xf>
    <xf numFmtId="183" fontId="65" fillId="0" borderId="0" xfId="0" applyNumberFormat="1" applyFont="1" applyAlignment="1">
      <alignment horizontal="left"/>
    </xf>
    <xf numFmtId="44" fontId="65" fillId="0" borderId="0" xfId="2" applyFont="1" applyAlignment="1">
      <alignment horizontal="left"/>
    </xf>
    <xf numFmtId="0" fontId="0" fillId="0" borderId="0" xfId="0" applyAlignment="1">
      <alignment horizontal="left"/>
    </xf>
    <xf numFmtId="166" fontId="0" fillId="0" borderId="0" xfId="1" applyNumberFormat="1" applyFont="1"/>
    <xf numFmtId="5" fontId="69" fillId="0" borderId="0" xfId="0" applyNumberFormat="1" applyFont="1" applyAlignment="1">
      <alignment horizontal="left"/>
    </xf>
    <xf numFmtId="5" fontId="70" fillId="0" borderId="0" xfId="0" applyNumberFormat="1" applyFont="1" applyAlignment="1">
      <alignment horizontal="left"/>
    </xf>
    <xf numFmtId="164" fontId="1" fillId="0" borderId="0" xfId="1" applyNumberFormat="1" applyFill="1"/>
    <xf numFmtId="44" fontId="0" fillId="0" borderId="0" xfId="2" applyFont="1" applyFill="1"/>
    <xf numFmtId="164" fontId="0" fillId="23" borderId="0" xfId="1" applyNumberFormat="1" applyFont="1" applyFill="1"/>
    <xf numFmtId="164" fontId="1" fillId="33" borderId="0" xfId="1" applyNumberFormat="1" applyFill="1"/>
    <xf numFmtId="44" fontId="1" fillId="0" borderId="0" xfId="81" applyNumberFormat="1" applyFill="1"/>
    <xf numFmtId="168" fontId="1" fillId="0" borderId="0" xfId="81" applyNumberFormat="1" applyFill="1"/>
    <xf numFmtId="43" fontId="1" fillId="0" borderId="0" xfId="1" applyFill="1"/>
    <xf numFmtId="168" fontId="70" fillId="0" borderId="0" xfId="2" applyNumberFormat="1" applyFont="1" applyAlignment="1">
      <alignment horizontal="left"/>
    </xf>
    <xf numFmtId="5" fontId="71" fillId="0" borderId="0" xfId="0" applyNumberFormat="1" applyFont="1" applyAlignment="1">
      <alignment horizontal="left"/>
    </xf>
    <xf numFmtId="0" fontId="1" fillId="0" borderId="0" xfId="81" applyFill="1" applyAlignment="1">
      <alignment horizontal="center"/>
    </xf>
    <xf numFmtId="168" fontId="1" fillId="0" borderId="0" xfId="81" applyNumberFormat="1" applyFill="1" applyAlignment="1">
      <alignment horizontal="left"/>
    </xf>
    <xf numFmtId="44" fontId="1" fillId="0" borderId="0" xfId="2" applyFill="1" applyAlignment="1">
      <alignment horizontal="left"/>
    </xf>
    <xf numFmtId="5" fontId="63" fillId="0" borderId="0" xfId="0" applyNumberFormat="1" applyFont="1" applyAlignment="1">
      <alignment horizontal="left"/>
    </xf>
    <xf numFmtId="5" fontId="70" fillId="0" borderId="0" xfId="0" applyNumberFormat="1" applyFont="1" applyAlignment="1">
      <alignment horizontal="center"/>
    </xf>
    <xf numFmtId="9" fontId="65" fillId="34" borderId="0" xfId="3" applyFont="1" applyFill="1" applyBorder="1"/>
    <xf numFmtId="5" fontId="71" fillId="0" borderId="0" xfId="0" applyNumberFormat="1" applyFont="1" applyAlignment="1">
      <alignment horizontal="left" indent="1"/>
    </xf>
    <xf numFmtId="5" fontId="72" fillId="0" borderId="0" xfId="0" applyNumberFormat="1" applyFont="1" applyAlignment="1">
      <alignment horizontal="left" indent="1"/>
    </xf>
    <xf numFmtId="0" fontId="0" fillId="23" borderId="0" xfId="0" applyFill="1"/>
    <xf numFmtId="9" fontId="0" fillId="0" borderId="0" xfId="3" applyFont="1" applyFill="1"/>
    <xf numFmtId="43" fontId="0" fillId="0" borderId="0" xfId="1" applyFont="1"/>
    <xf numFmtId="166" fontId="0" fillId="0" borderId="0" xfId="1" applyNumberFormat="1" applyFont="1" applyFill="1"/>
    <xf numFmtId="168" fontId="59" fillId="0" borderId="45" xfId="78" applyNumberFormat="1" applyAlignment="1">
      <alignment horizontal="right"/>
    </xf>
    <xf numFmtId="168" fontId="59" fillId="0" borderId="0" xfId="2" applyNumberFormat="1" applyFont="1"/>
    <xf numFmtId="171" fontId="58" fillId="9" borderId="0" xfId="0" applyNumberFormat="1" applyFont="1" applyFill="1" applyAlignment="1">
      <alignment horizontal="left"/>
    </xf>
    <xf numFmtId="9" fontId="0" fillId="0" borderId="0" xfId="3" applyFont="1"/>
    <xf numFmtId="168" fontId="0" fillId="0" borderId="0" xfId="0" applyNumberFormat="1"/>
    <xf numFmtId="0" fontId="65" fillId="0" borderId="0" xfId="0" applyFont="1"/>
    <xf numFmtId="164" fontId="59" fillId="0" borderId="0" xfId="1" applyNumberFormat="1" applyFont="1" applyBorder="1"/>
    <xf numFmtId="0" fontId="59" fillId="0" borderId="0" xfId="78" applyBorder="1" applyAlignment="1">
      <alignment horizontal="center"/>
    </xf>
    <xf numFmtId="0" fontId="59" fillId="0" borderId="45" xfId="78"/>
    <xf numFmtId="168" fontId="59" fillId="0" borderId="45" xfId="2" applyNumberFormat="1" applyFont="1" applyBorder="1"/>
    <xf numFmtId="44" fontId="59" fillId="0" borderId="45" xfId="2" applyFont="1" applyBorder="1"/>
    <xf numFmtId="0" fontId="55" fillId="0" borderId="42" xfId="74" applyAlignment="1">
      <alignment horizontal="center"/>
    </xf>
    <xf numFmtId="164" fontId="57" fillId="0" borderId="44" xfId="1" applyNumberFormat="1" applyFont="1" applyBorder="1"/>
    <xf numFmtId="0" fontId="57" fillId="0" borderId="44" xfId="76" applyAlignment="1">
      <alignment horizontal="center"/>
    </xf>
    <xf numFmtId="0" fontId="57" fillId="0" borderId="44" xfId="76"/>
    <xf numFmtId="44" fontId="1" fillId="31" borderId="0" xfId="2" applyFont="1" applyFill="1"/>
    <xf numFmtId="44" fontId="56" fillId="0" borderId="43" xfId="75" applyNumberFormat="1"/>
    <xf numFmtId="9" fontId="0" fillId="33" borderId="0" xfId="3" applyFont="1" applyFill="1"/>
    <xf numFmtId="3" fontId="59" fillId="0" borderId="49" xfId="0" applyNumberFormat="1" applyFont="1" applyBorder="1"/>
    <xf numFmtId="0" fontId="59" fillId="0" borderId="50" xfId="0" applyFont="1" applyBorder="1" applyAlignment="1">
      <alignment horizontal="center"/>
    </xf>
    <xf numFmtId="0" fontId="59" fillId="0" borderId="51" xfId="0" applyFont="1" applyBorder="1" applyAlignment="1">
      <alignment horizontal="center"/>
    </xf>
    <xf numFmtId="3" fontId="0" fillId="0" borderId="3" xfId="0" applyNumberFormat="1" applyBorder="1"/>
    <xf numFmtId="0" fontId="0" fillId="0" borderId="4" xfId="0" applyBorder="1"/>
    <xf numFmtId="0" fontId="0" fillId="0" borderId="3" xfId="0" applyBorder="1"/>
    <xf numFmtId="1" fontId="0" fillId="0" borderId="3" xfId="0" applyNumberFormat="1" applyBorder="1"/>
    <xf numFmtId="164" fontId="0" fillId="0" borderId="3" xfId="1" applyNumberFormat="1" applyFont="1" applyBorder="1"/>
    <xf numFmtId="43" fontId="0" fillId="0" borderId="3" xfId="1" applyFont="1" applyBorder="1"/>
    <xf numFmtId="168" fontId="56" fillId="0" borderId="43" xfId="75" applyNumberFormat="1"/>
    <xf numFmtId="165" fontId="0" fillId="0" borderId="0" xfId="0" applyNumberFormat="1"/>
    <xf numFmtId="164" fontId="0" fillId="31" borderId="0" xfId="1" applyNumberFormat="1" applyFont="1" applyFill="1"/>
    <xf numFmtId="164" fontId="0" fillId="0" borderId="0" xfId="1" applyNumberFormat="1" applyFont="1" applyBorder="1"/>
    <xf numFmtId="0" fontId="0" fillId="0" borderId="0" xfId="81" applyFont="1" applyFill="1" applyAlignment="1">
      <alignment horizontal="center"/>
    </xf>
    <xf numFmtId="43" fontId="0" fillId="0" borderId="3" xfId="0" applyNumberFormat="1" applyBorder="1"/>
    <xf numFmtId="164" fontId="73" fillId="0" borderId="52" xfId="1" applyNumberFormat="1" applyFont="1" applyBorder="1"/>
    <xf numFmtId="0" fontId="55" fillId="0" borderId="53" xfId="74" applyBorder="1"/>
    <xf numFmtId="164" fontId="0" fillId="0" borderId="53" xfId="1" applyNumberFormat="1" applyFont="1" applyBorder="1"/>
    <xf numFmtId="0" fontId="0" fillId="0" borderId="54" xfId="0" applyBorder="1"/>
    <xf numFmtId="44" fontId="59" fillId="0" borderId="47" xfId="78" applyNumberFormat="1" applyBorder="1"/>
    <xf numFmtId="168" fontId="59" fillId="32" borderId="47" xfId="78" applyNumberFormat="1" applyFill="1" applyBorder="1"/>
    <xf numFmtId="44" fontId="59" fillId="0" borderId="0" xfId="78" applyNumberFormat="1" applyBorder="1"/>
    <xf numFmtId="164" fontId="0" fillId="32" borderId="0" xfId="1" applyNumberFormat="1" applyFont="1" applyFill="1"/>
    <xf numFmtId="43" fontId="0" fillId="0" borderId="0" xfId="0" applyNumberFormat="1" applyAlignment="1">
      <alignment horizontal="center"/>
    </xf>
    <xf numFmtId="43" fontId="59" fillId="0" borderId="45" xfId="1" applyFont="1" applyBorder="1"/>
    <xf numFmtId="168" fontId="0" fillId="0" borderId="0" xfId="2" applyNumberFormat="1" applyFont="1" applyAlignment="1">
      <alignment horizontal="center"/>
    </xf>
    <xf numFmtId="0" fontId="74" fillId="35" borderId="55" xfId="0" applyFont="1" applyFill="1" applyBorder="1" applyAlignment="1">
      <alignment horizontal="center" vertical="center" wrapText="1" readingOrder="1"/>
    </xf>
    <xf numFmtId="164" fontId="74" fillId="35" borderId="55" xfId="1" applyNumberFormat="1" applyFont="1" applyFill="1" applyBorder="1" applyAlignment="1">
      <alignment horizontal="center" vertical="center" wrapText="1" readingOrder="1"/>
    </xf>
    <xf numFmtId="44" fontId="0" fillId="0" borderId="0" xfId="2" applyFont="1" applyAlignment="1">
      <alignment horizontal="center"/>
    </xf>
    <xf numFmtId="9" fontId="75" fillId="36" borderId="56" xfId="0" applyNumberFormat="1" applyFont="1" applyFill="1" applyBorder="1" applyAlignment="1">
      <alignment horizontal="left" wrapText="1" readingOrder="1"/>
    </xf>
    <xf numFmtId="164" fontId="75" fillId="36" borderId="56" xfId="1" applyNumberFormat="1" applyFont="1" applyFill="1" applyBorder="1" applyAlignment="1">
      <alignment horizontal="left" vertical="center" wrapText="1" readingOrder="1"/>
    </xf>
    <xf numFmtId="9" fontId="75" fillId="37" borderId="57" xfId="0" applyNumberFormat="1" applyFont="1" applyFill="1" applyBorder="1" applyAlignment="1">
      <alignment horizontal="left" vertical="center" wrapText="1" readingOrder="1"/>
    </xf>
    <xf numFmtId="164" fontId="75" fillId="37" borderId="57" xfId="1" applyNumberFormat="1" applyFont="1" applyFill="1" applyBorder="1" applyAlignment="1">
      <alignment horizontal="left" vertical="center" wrapText="1" readingOrder="1"/>
    </xf>
    <xf numFmtId="164" fontId="0" fillId="0" borderId="0" xfId="1" applyNumberFormat="1" applyFont="1" applyAlignment="1">
      <alignment horizontal="center"/>
    </xf>
    <xf numFmtId="9" fontId="75" fillId="36" borderId="57" xfId="0" applyNumberFormat="1" applyFont="1" applyFill="1" applyBorder="1" applyAlignment="1">
      <alignment horizontal="left" vertical="center" wrapText="1" readingOrder="1"/>
    </xf>
    <xf numFmtId="164" fontId="75" fillId="36" borderId="57" xfId="1" applyNumberFormat="1" applyFont="1" applyFill="1" applyBorder="1" applyAlignment="1">
      <alignment horizontal="left" vertical="center" wrapText="1" readingOrder="1"/>
    </xf>
    <xf numFmtId="9" fontId="76" fillId="37" borderId="58" xfId="0" applyNumberFormat="1" applyFont="1" applyFill="1" applyBorder="1" applyAlignment="1">
      <alignment horizontal="left" vertical="center" wrapText="1" readingOrder="1"/>
    </xf>
    <xf numFmtId="44" fontId="75" fillId="37" borderId="0" xfId="2" applyFont="1" applyFill="1" applyBorder="1" applyAlignment="1">
      <alignment horizontal="left" vertical="center" wrapText="1" readingOrder="1"/>
    </xf>
    <xf numFmtId="9" fontId="75" fillId="36" borderId="56" xfId="0" applyNumberFormat="1" applyFont="1" applyFill="1" applyBorder="1" applyAlignment="1">
      <alignment horizontal="left" vertical="center" wrapText="1" readingOrder="1"/>
    </xf>
    <xf numFmtId="168" fontId="75" fillId="36" borderId="56" xfId="2" applyNumberFormat="1" applyFont="1" applyFill="1" applyBorder="1" applyAlignment="1">
      <alignment horizontal="left" vertical="center" wrapText="1" readingOrder="1"/>
    </xf>
    <xf numFmtId="168" fontId="75" fillId="37" borderId="59" xfId="2" applyNumberFormat="1" applyFont="1" applyFill="1" applyBorder="1" applyAlignment="1">
      <alignment horizontal="left" vertical="center" wrapText="1" readingOrder="1"/>
    </xf>
    <xf numFmtId="9" fontId="75" fillId="36" borderId="58" xfId="0" applyNumberFormat="1" applyFont="1" applyFill="1" applyBorder="1" applyAlignment="1">
      <alignment horizontal="left" vertical="center" wrapText="1" readingOrder="1"/>
    </xf>
    <xf numFmtId="44" fontId="75" fillId="36" borderId="12" xfId="2" applyFont="1" applyFill="1" applyBorder="1" applyAlignment="1">
      <alignment horizontal="left" vertical="center" wrapText="1" readingOrder="1"/>
    </xf>
    <xf numFmtId="168" fontId="75" fillId="37" borderId="60" xfId="2" applyNumberFormat="1" applyFont="1" applyFill="1" applyBorder="1" applyAlignment="1">
      <alignment horizontal="left" vertical="center" wrapText="1" readingOrder="1"/>
    </xf>
    <xf numFmtId="168" fontId="75" fillId="36" borderId="57" xfId="2" applyNumberFormat="1" applyFont="1" applyFill="1" applyBorder="1" applyAlignment="1">
      <alignment horizontal="left" vertical="center" wrapText="1" readingOrder="1"/>
    </xf>
    <xf numFmtId="43" fontId="0" fillId="0" borderId="0" xfId="1" applyFont="1" applyAlignment="1">
      <alignment horizontal="center"/>
    </xf>
    <xf numFmtId="9" fontId="75" fillId="37" borderId="58" xfId="0" applyNumberFormat="1" applyFont="1" applyFill="1" applyBorder="1" applyAlignment="1">
      <alignment horizontal="left" vertical="center" wrapText="1" readingOrder="1"/>
    </xf>
    <xf numFmtId="44" fontId="75" fillId="37" borderId="12" xfId="2" applyFont="1" applyFill="1" applyBorder="1" applyAlignment="1">
      <alignment horizontal="left" vertical="center" wrapText="1" readingOrder="1"/>
    </xf>
    <xf numFmtId="44" fontId="76" fillId="37" borderId="12" xfId="2" applyFont="1" applyFill="1" applyBorder="1" applyAlignment="1">
      <alignment horizontal="left" vertical="center" wrapText="1" readingOrder="1"/>
    </xf>
    <xf numFmtId="168" fontId="75" fillId="37" borderId="57" xfId="2" applyNumberFormat="1" applyFont="1" applyFill="1" applyBorder="1" applyAlignment="1">
      <alignment horizontal="left" vertical="center" wrapText="1" readingOrder="1"/>
    </xf>
    <xf numFmtId="168" fontId="75" fillId="37" borderId="0" xfId="2" applyNumberFormat="1" applyFont="1" applyFill="1" applyBorder="1" applyAlignment="1">
      <alignment horizontal="left" vertical="center" wrapText="1" readingOrder="1"/>
    </xf>
    <xf numFmtId="164" fontId="58" fillId="25" borderId="0" xfId="80" applyNumberFormat="1" applyFont="1"/>
    <xf numFmtId="0" fontId="0" fillId="0" borderId="0" xfId="0" applyAlignment="1">
      <alignment horizontal="left" indent="1"/>
    </xf>
    <xf numFmtId="44" fontId="58" fillId="25" borderId="0" xfId="80" applyNumberFormat="1" applyFont="1"/>
    <xf numFmtId="9" fontId="0" fillId="0" borderId="0" xfId="3" applyFont="1" applyAlignment="1">
      <alignment horizontal="right"/>
    </xf>
    <xf numFmtId="164" fontId="1" fillId="25" borderId="0" xfId="80" applyNumberFormat="1"/>
    <xf numFmtId="44" fontId="0" fillId="0" borderId="0" xfId="2" applyFont="1" applyAlignment="1">
      <alignment horizontal="left" indent="1"/>
    </xf>
    <xf numFmtId="0" fontId="0" fillId="0" borderId="0" xfId="0" applyAlignment="1">
      <alignment horizontal="left" indent="2"/>
    </xf>
    <xf numFmtId="0" fontId="59" fillId="0" borderId="0" xfId="78" applyBorder="1" applyAlignment="1">
      <alignment horizontal="right"/>
    </xf>
    <xf numFmtId="168" fontId="59" fillId="0" borderId="0" xfId="78" applyNumberFormat="1" applyBorder="1"/>
    <xf numFmtId="184" fontId="0" fillId="0" borderId="0" xfId="1" applyNumberFormat="1" applyFont="1"/>
    <xf numFmtId="0" fontId="57" fillId="0" borderId="43" xfId="77" applyBorder="1" applyAlignment="1">
      <alignment horizontal="center"/>
    </xf>
    <xf numFmtId="0" fontId="57" fillId="0" borderId="43" xfId="77" applyBorder="1" applyAlignment="1">
      <alignment horizontal="center" wrapText="1"/>
    </xf>
    <xf numFmtId="168" fontId="0" fillId="5" borderId="0" xfId="2" applyNumberFormat="1" applyFont="1" applyFill="1"/>
    <xf numFmtId="0" fontId="59" fillId="0" borderId="0" xfId="78" applyBorder="1"/>
    <xf numFmtId="0" fontId="0" fillId="0" borderId="0" xfId="81" applyFont="1" applyFill="1"/>
    <xf numFmtId="168" fontId="0" fillId="32" borderId="0" xfId="2" applyNumberFormat="1" applyFont="1" applyFill="1"/>
    <xf numFmtId="181" fontId="0" fillId="0" borderId="0" xfId="0" applyNumberFormat="1"/>
    <xf numFmtId="1" fontId="2" fillId="21" borderId="1" xfId="3" applyNumberFormat="1" applyFont="1" applyFill="1" applyBorder="1"/>
    <xf numFmtId="0" fontId="0" fillId="38" borderId="0" xfId="0" applyFill="1"/>
    <xf numFmtId="43" fontId="0" fillId="38" borderId="0" xfId="1" applyFont="1" applyFill="1"/>
    <xf numFmtId="43" fontId="0" fillId="0" borderId="0" xfId="1" applyFont="1" applyFill="1"/>
    <xf numFmtId="44" fontId="1" fillId="38" borderId="0" xfId="78" applyNumberFormat="1" applyFont="1" applyFill="1" applyBorder="1"/>
    <xf numFmtId="0" fontId="68" fillId="0" borderId="0" xfId="0" applyFont="1"/>
    <xf numFmtId="164" fontId="0" fillId="38" borderId="0" xfId="1" applyNumberFormat="1" applyFont="1" applyFill="1"/>
    <xf numFmtId="10" fontId="1" fillId="38" borderId="0" xfId="3" applyNumberFormat="1" applyFill="1"/>
    <xf numFmtId="44" fontId="0" fillId="38" borderId="0" xfId="2" applyFont="1" applyFill="1"/>
    <xf numFmtId="164" fontId="1" fillId="38" borderId="0" xfId="1" applyNumberFormat="1" applyFill="1"/>
    <xf numFmtId="6" fontId="0" fillId="0" borderId="0" xfId="0" applyNumberFormat="1"/>
    <xf numFmtId="0" fontId="0" fillId="0" borderId="61" xfId="0" applyBorder="1"/>
    <xf numFmtId="0" fontId="0" fillId="0" borderId="40" xfId="0" applyBorder="1"/>
    <xf numFmtId="164" fontId="0" fillId="0" borderId="40" xfId="0" applyNumberFormat="1" applyBorder="1"/>
    <xf numFmtId="164" fontId="0" fillId="10" borderId="61" xfId="1" applyNumberFormat="1" applyFont="1" applyFill="1" applyBorder="1"/>
    <xf numFmtId="6" fontId="0" fillId="0" borderId="40" xfId="0" applyNumberFormat="1" applyBorder="1"/>
    <xf numFmtId="9" fontId="0" fillId="0" borderId="0" xfId="3" applyFont="1" applyBorder="1"/>
    <xf numFmtId="168" fontId="59" fillId="9" borderId="45" xfId="2" applyNumberFormat="1" applyFont="1" applyFill="1" applyBorder="1"/>
    <xf numFmtId="171" fontId="58" fillId="0" borderId="0" xfId="0" applyNumberFormat="1" applyFont="1" applyAlignment="1">
      <alignment horizontal="left"/>
    </xf>
    <xf numFmtId="0" fontId="65" fillId="34" borderId="0" xfId="0" applyFont="1" applyFill="1"/>
    <xf numFmtId="1" fontId="0" fillId="39" borderId="40" xfId="0" applyNumberFormat="1" applyFill="1" applyBorder="1"/>
    <xf numFmtId="164" fontId="0" fillId="39" borderId="40" xfId="1" applyNumberFormat="1" applyFont="1" applyFill="1" applyBorder="1"/>
    <xf numFmtId="1" fontId="0" fillId="0" borderId="0" xfId="0" applyNumberFormat="1"/>
    <xf numFmtId="185" fontId="0" fillId="0" borderId="0" xfId="0" applyNumberFormat="1"/>
    <xf numFmtId="164" fontId="0" fillId="10" borderId="40" xfId="0" applyNumberFormat="1" applyFill="1" applyBorder="1"/>
    <xf numFmtId="166" fontId="0" fillId="0" borderId="0" xfId="0" applyNumberFormat="1"/>
    <xf numFmtId="44" fontId="1" fillId="38" borderId="0" xfId="2" applyFont="1" applyFill="1"/>
    <xf numFmtId="164" fontId="0" fillId="39" borderId="0" xfId="1" applyNumberFormat="1" applyFont="1" applyFill="1" applyBorder="1"/>
    <xf numFmtId="164" fontId="0" fillId="0" borderId="0" xfId="1" applyNumberFormat="1" applyFont="1" applyFill="1" applyBorder="1"/>
    <xf numFmtId="0" fontId="85" fillId="0" borderId="0" xfId="4" applyFont="1" applyAlignment="1">
      <alignment horizontal="center"/>
    </xf>
    <xf numFmtId="0" fontId="86" fillId="0" borderId="0" xfId="4" applyFont="1" applyAlignment="1">
      <alignment horizontal="left"/>
    </xf>
    <xf numFmtId="186" fontId="2" fillId="0" borderId="0" xfId="2" applyNumberFormat="1" applyFont="1"/>
    <xf numFmtId="186" fontId="87" fillId="0" borderId="0" xfId="2" applyNumberFormat="1" applyFont="1"/>
    <xf numFmtId="0" fontId="87" fillId="0" borderId="0" xfId="4" applyFont="1"/>
    <xf numFmtId="44" fontId="87" fillId="0" borderId="0" xfId="4" applyNumberFormat="1" applyFont="1"/>
    <xf numFmtId="168" fontId="28" fillId="0" borderId="0" xfId="2" applyNumberFormat="1" applyFont="1" applyBorder="1"/>
    <xf numFmtId="175" fontId="87" fillId="0" borderId="1" xfId="0" applyNumberFormat="1" applyFont="1" applyBorder="1"/>
    <xf numFmtId="168" fontId="1" fillId="38" borderId="0" xfId="81" applyNumberFormat="1" applyFill="1"/>
    <xf numFmtId="2" fontId="2" fillId="0" borderId="0" xfId="4" applyNumberFormat="1" applyFont="1"/>
    <xf numFmtId="2" fontId="87" fillId="0" borderId="0" xfId="4" applyNumberFormat="1" applyFont="1"/>
    <xf numFmtId="166" fontId="59" fillId="38" borderId="0" xfId="0" applyNumberFormat="1" applyFont="1" applyFill="1"/>
    <xf numFmtId="4" fontId="2" fillId="0" borderId="0" xfId="4" applyNumberFormat="1" applyFont="1"/>
    <xf numFmtId="169" fontId="28" fillId="0" borderId="0" xfId="1" applyNumberFormat="1" applyFont="1" applyAlignment="1">
      <alignment horizontal="right"/>
    </xf>
    <xf numFmtId="6" fontId="2" fillId="9" borderId="1" xfId="0" applyNumberFormat="1" applyFont="1" applyFill="1" applyBorder="1"/>
    <xf numFmtId="167" fontId="1" fillId="38" borderId="0" xfId="80" applyNumberFormat="1" applyFill="1"/>
    <xf numFmtId="164" fontId="1" fillId="30" borderId="0" xfId="80" applyNumberFormat="1" applyFill="1"/>
    <xf numFmtId="6" fontId="65" fillId="38" borderId="0" xfId="80" applyNumberFormat="1" applyFont="1" applyFill="1"/>
    <xf numFmtId="164" fontId="65" fillId="25" borderId="0" xfId="80" applyNumberFormat="1" applyFont="1"/>
    <xf numFmtId="0" fontId="57" fillId="0" borderId="0" xfId="76" applyFill="1" applyBorder="1"/>
    <xf numFmtId="0" fontId="26" fillId="5" borderId="0" xfId="0" applyFont="1" applyFill="1" applyAlignment="1">
      <alignment horizontal="right"/>
    </xf>
    <xf numFmtId="0" fontId="25" fillId="5" borderId="0" xfId="0" applyFont="1" applyFill="1"/>
    <xf numFmtId="0" fontId="26" fillId="5" borderId="0" xfId="0" applyFont="1" applyFill="1"/>
    <xf numFmtId="0" fontId="26" fillId="5" borderId="0" xfId="0" applyFont="1" applyFill="1" applyAlignment="1">
      <alignment horizontal="center" vertical="center" wrapText="1"/>
    </xf>
    <xf numFmtId="0" fontId="25" fillId="16" borderId="0" xfId="0" applyFont="1" applyFill="1"/>
    <xf numFmtId="166" fontId="25" fillId="21" borderId="0" xfId="1" applyNumberFormat="1" applyFont="1" applyFill="1" applyBorder="1"/>
    <xf numFmtId="164" fontId="25" fillId="21" borderId="0" xfId="1" applyNumberFormat="1" applyFont="1" applyFill="1" applyBorder="1"/>
    <xf numFmtId="168" fontId="25" fillId="21" borderId="0" xfId="2" applyNumberFormat="1" applyFont="1" applyFill="1" applyBorder="1"/>
    <xf numFmtId="44" fontId="25" fillId="5" borderId="0" xfId="2" applyFont="1" applyFill="1" applyBorder="1"/>
    <xf numFmtId="44" fontId="25" fillId="21" borderId="0" xfId="2" applyFont="1" applyFill="1" applyBorder="1"/>
    <xf numFmtId="0" fontId="25" fillId="21" borderId="0" xfId="2" applyNumberFormat="1" applyFont="1" applyFill="1" applyBorder="1"/>
    <xf numFmtId="0" fontId="26" fillId="21" borderId="0" xfId="0" applyFont="1" applyFill="1"/>
    <xf numFmtId="0" fontId="25" fillId="21" borderId="0" xfId="0" applyFont="1" applyFill="1"/>
    <xf numFmtId="168" fontId="25" fillId="21" borderId="0" xfId="0" applyNumberFormat="1" applyFont="1" applyFill="1"/>
    <xf numFmtId="44" fontId="25" fillId="21" borderId="0" xfId="0" applyNumberFormat="1" applyFont="1" applyFill="1"/>
    <xf numFmtId="0" fontId="84" fillId="5" borderId="0" xfId="0" applyFont="1" applyFill="1"/>
    <xf numFmtId="0" fontId="84" fillId="16" borderId="0" xfId="0" applyFont="1" applyFill="1"/>
    <xf numFmtId="44" fontId="84" fillId="21" borderId="0" xfId="2" applyFont="1" applyFill="1" applyBorder="1"/>
    <xf numFmtId="5" fontId="25" fillId="21" borderId="0" xfId="2" applyNumberFormat="1" applyFont="1" applyFill="1" applyBorder="1"/>
    <xf numFmtId="0" fontId="25" fillId="5" borderId="1" xfId="0" applyFont="1" applyFill="1" applyBorder="1"/>
    <xf numFmtId="164" fontId="25" fillId="5" borderId="1" xfId="1" applyNumberFormat="1" applyFont="1" applyFill="1" applyBorder="1"/>
    <xf numFmtId="0" fontId="26" fillId="5" borderId="1" xfId="0" applyFont="1" applyFill="1" applyBorder="1"/>
    <xf numFmtId="168" fontId="25" fillId="5" borderId="1" xfId="2" applyNumberFormat="1" applyFont="1" applyFill="1" applyBorder="1"/>
    <xf numFmtId="44" fontId="25" fillId="5" borderId="1" xfId="2" applyFont="1" applyFill="1" applyBorder="1"/>
    <xf numFmtId="168" fontId="25" fillId="5" borderId="1" xfId="0" applyNumberFormat="1" applyFont="1" applyFill="1" applyBorder="1"/>
    <xf numFmtId="0" fontId="25" fillId="5" borderId="65" xfId="0" applyFont="1" applyFill="1" applyBorder="1"/>
    <xf numFmtId="164" fontId="25" fillId="5" borderId="66" xfId="1" applyNumberFormat="1" applyFont="1" applyFill="1" applyBorder="1"/>
    <xf numFmtId="168" fontId="25" fillId="5" borderId="66" xfId="2" applyNumberFormat="1" applyFont="1" applyFill="1" applyBorder="1"/>
    <xf numFmtId="44" fontId="25" fillId="5" borderId="66" xfId="2" applyFont="1" applyFill="1" applyBorder="1"/>
    <xf numFmtId="0" fontId="26" fillId="5" borderId="66" xfId="0" applyFont="1" applyFill="1" applyBorder="1"/>
    <xf numFmtId="0" fontId="25" fillId="5" borderId="66" xfId="0" applyFont="1" applyFill="1" applyBorder="1"/>
    <xf numFmtId="168" fontId="25" fillId="5" borderId="66" xfId="0" applyNumberFormat="1" applyFont="1" applyFill="1" applyBorder="1"/>
    <xf numFmtId="0" fontId="25" fillId="5" borderId="67" xfId="0" applyFont="1" applyFill="1" applyBorder="1"/>
    <xf numFmtId="168" fontId="25" fillId="5" borderId="24" xfId="2" applyNumberFormat="1" applyFont="1" applyFill="1" applyBorder="1"/>
    <xf numFmtId="168" fontId="25" fillId="5" borderId="68" xfId="2" applyNumberFormat="1" applyFont="1" applyFill="1" applyBorder="1"/>
    <xf numFmtId="0" fontId="26" fillId="5" borderId="10" xfId="0" applyFont="1" applyFill="1" applyBorder="1" applyAlignment="1">
      <alignment horizontal="center" vertical="center"/>
    </xf>
    <xf numFmtId="0" fontId="26" fillId="5" borderId="11" xfId="0" applyFont="1" applyFill="1" applyBorder="1" applyAlignment="1">
      <alignment horizontal="center" vertical="center" wrapText="1"/>
    </xf>
    <xf numFmtId="0" fontId="26" fillId="5" borderId="62" xfId="0" applyFont="1" applyFill="1" applyBorder="1" applyAlignment="1">
      <alignment horizontal="center" vertical="center" wrapText="1"/>
    </xf>
    <xf numFmtId="0" fontId="26" fillId="5" borderId="33" xfId="0" applyFont="1" applyFill="1" applyBorder="1"/>
    <xf numFmtId="0" fontId="25" fillId="5" borderId="63" xfId="0" applyFont="1" applyFill="1" applyBorder="1"/>
    <xf numFmtId="166" fontId="25" fillId="5" borderId="23" xfId="1" applyNumberFormat="1" applyFont="1" applyFill="1" applyBorder="1"/>
    <xf numFmtId="166" fontId="25" fillId="5" borderId="64" xfId="1" applyNumberFormat="1" applyFont="1" applyFill="1" applyBorder="1"/>
    <xf numFmtId="164" fontId="25" fillId="5" borderId="24" xfId="1" applyNumberFormat="1" applyFont="1" applyFill="1" applyBorder="1"/>
    <xf numFmtId="164" fontId="25" fillId="5" borderId="68" xfId="1" applyNumberFormat="1" applyFont="1" applyFill="1" applyBorder="1"/>
    <xf numFmtId="0" fontId="26" fillId="5" borderId="63" xfId="0" applyFont="1" applyFill="1" applyBorder="1"/>
    <xf numFmtId="164" fontId="25" fillId="5" borderId="23" xfId="1" applyNumberFormat="1" applyFont="1" applyFill="1" applyBorder="1"/>
    <xf numFmtId="164" fontId="25" fillId="5" borderId="64" xfId="1" applyNumberFormat="1" applyFont="1" applyFill="1" applyBorder="1"/>
    <xf numFmtId="44" fontId="25" fillId="5" borderId="24" xfId="0" applyNumberFormat="1" applyFont="1" applyFill="1" applyBorder="1"/>
    <xf numFmtId="44" fontId="25" fillId="5" borderId="68" xfId="0" applyNumberFormat="1" applyFont="1" applyFill="1" applyBorder="1"/>
    <xf numFmtId="0" fontId="26" fillId="5" borderId="23" xfId="0" applyFont="1" applyFill="1" applyBorder="1"/>
    <xf numFmtId="0" fontId="26" fillId="5" borderId="64" xfId="0" applyFont="1" applyFill="1" applyBorder="1"/>
    <xf numFmtId="44" fontId="25" fillId="5" borderId="23" xfId="0" applyNumberFormat="1" applyFont="1" applyFill="1" applyBorder="1"/>
    <xf numFmtId="44" fontId="25" fillId="5" borderId="64" xfId="0" applyNumberFormat="1" applyFont="1" applyFill="1" applyBorder="1"/>
    <xf numFmtId="44" fontId="25" fillId="5" borderId="36" xfId="2" applyFont="1" applyFill="1" applyBorder="1"/>
    <xf numFmtId="44" fontId="25" fillId="5" borderId="34" xfId="2" applyFont="1" applyFill="1" applyBorder="1"/>
    <xf numFmtId="0" fontId="25" fillId="5" borderId="69" xfId="0" applyFont="1" applyFill="1" applyBorder="1"/>
    <xf numFmtId="0" fontId="25" fillId="5" borderId="23" xfId="0" applyFont="1" applyFill="1" applyBorder="1"/>
    <xf numFmtId="0" fontId="25" fillId="5" borderId="64" xfId="0" applyFont="1" applyFill="1" applyBorder="1"/>
    <xf numFmtId="0" fontId="25" fillId="5" borderId="65" xfId="0" applyFont="1" applyFill="1" applyBorder="1" applyAlignment="1">
      <alignment horizontal="left" indent="1"/>
    </xf>
    <xf numFmtId="0" fontId="26" fillId="5" borderId="65" xfId="0" applyFont="1" applyFill="1" applyBorder="1" applyAlignment="1">
      <alignment horizontal="left" indent="1"/>
    </xf>
    <xf numFmtId="0" fontId="89" fillId="0" borderId="65" xfId="0" applyFont="1" applyBorder="1" applyAlignment="1">
      <alignment horizontal="left" indent="1"/>
    </xf>
    <xf numFmtId="0" fontId="25" fillId="5" borderId="67" xfId="0" applyFont="1" applyFill="1" applyBorder="1" applyAlignment="1">
      <alignment horizontal="left" indent="1"/>
    </xf>
    <xf numFmtId="0" fontId="84" fillId="5" borderId="65" xfId="0" applyFont="1" applyFill="1" applyBorder="1" applyAlignment="1">
      <alignment horizontal="left" indent="1"/>
    </xf>
    <xf numFmtId="1" fontId="87" fillId="0" borderId="1" xfId="0" applyNumberFormat="1" applyFont="1" applyBorder="1"/>
    <xf numFmtId="168" fontId="84" fillId="5" borderId="1" xfId="2" applyNumberFormat="1" applyFont="1" applyFill="1" applyBorder="1"/>
    <xf numFmtId="168" fontId="84" fillId="5" borderId="66" xfId="2" applyNumberFormat="1" applyFont="1" applyFill="1" applyBorder="1"/>
    <xf numFmtId="168" fontId="25" fillId="5" borderId="24" xfId="0" applyNumberFormat="1" applyFont="1" applyFill="1" applyBorder="1"/>
    <xf numFmtId="168" fontId="25" fillId="5" borderId="68" xfId="0" applyNumberFormat="1" applyFont="1" applyFill="1" applyBorder="1"/>
    <xf numFmtId="168" fontId="84" fillId="5" borderId="66" xfId="0" applyNumberFormat="1" applyFont="1" applyFill="1" applyBorder="1"/>
    <xf numFmtId="168" fontId="25" fillId="5" borderId="5" xfId="2" applyNumberFormat="1" applyFont="1" applyFill="1" applyBorder="1"/>
    <xf numFmtId="168" fontId="25" fillId="5" borderId="70" xfId="2" applyNumberFormat="1" applyFont="1" applyFill="1" applyBorder="1"/>
    <xf numFmtId="0" fontId="2" fillId="0" borderId="0" xfId="0" applyFont="1" applyAlignment="1">
      <alignment horizontal="right"/>
    </xf>
    <xf numFmtId="168" fontId="87" fillId="0" borderId="1" xfId="2" applyNumberFormat="1" applyFont="1" applyBorder="1"/>
    <xf numFmtId="0" fontId="87" fillId="0" borderId="0" xfId="0" applyFont="1"/>
    <xf numFmtId="168" fontId="87" fillId="0" borderId="1" xfId="0" applyNumberFormat="1" applyFont="1" applyBorder="1"/>
    <xf numFmtId="0" fontId="87" fillId="0" borderId="1" xfId="0" applyFont="1" applyBorder="1"/>
    <xf numFmtId="0" fontId="56" fillId="0" borderId="71" xfId="75" applyBorder="1"/>
    <xf numFmtId="168" fontId="56" fillId="0" borderId="71" xfId="75" applyNumberFormat="1" applyBorder="1"/>
    <xf numFmtId="9" fontId="0" fillId="0" borderId="0" xfId="0" applyNumberFormat="1"/>
    <xf numFmtId="44" fontId="59" fillId="9" borderId="45" xfId="2" applyFont="1" applyFill="1" applyBorder="1"/>
    <xf numFmtId="171" fontId="65" fillId="0" borderId="0" xfId="0" applyNumberFormat="1" applyFont="1" applyAlignment="1">
      <alignment horizontal="left"/>
    </xf>
    <xf numFmtId="164" fontId="65" fillId="25" borderId="0" xfId="1" applyNumberFormat="1" applyFont="1" applyFill="1"/>
    <xf numFmtId="6" fontId="65" fillId="38" borderId="0" xfId="2" applyNumberFormat="1" applyFont="1" applyFill="1"/>
    <xf numFmtId="10" fontId="0" fillId="0" borderId="0" xfId="0" applyNumberFormat="1"/>
    <xf numFmtId="0" fontId="0" fillId="14" borderId="0" xfId="0" applyFill="1"/>
    <xf numFmtId="1" fontId="0" fillId="14" borderId="0" xfId="0" applyNumberFormat="1" applyFill="1"/>
    <xf numFmtId="0" fontId="0" fillId="28" borderId="0" xfId="0" applyFill="1"/>
    <xf numFmtId="8" fontId="0" fillId="28" borderId="0" xfId="0" applyNumberFormat="1" applyFill="1"/>
    <xf numFmtId="164" fontId="0" fillId="38" borderId="0" xfId="0" applyNumberFormat="1" applyFill="1"/>
    <xf numFmtId="168" fontId="0" fillId="38" borderId="0" xfId="2" applyNumberFormat="1" applyFont="1" applyFill="1"/>
    <xf numFmtId="0" fontId="90" fillId="0" borderId="71" xfId="75" applyFont="1" applyBorder="1"/>
    <xf numFmtId="164" fontId="1" fillId="0" borderId="0" xfId="1" applyNumberFormat="1" applyFont="1" applyFill="1"/>
    <xf numFmtId="6" fontId="1" fillId="0" borderId="0" xfId="2" applyNumberFormat="1" applyFont="1"/>
    <xf numFmtId="168" fontId="1" fillId="0" borderId="0" xfId="2" applyNumberFormat="1" applyFont="1"/>
    <xf numFmtId="164" fontId="1" fillId="0" borderId="0" xfId="1" applyNumberFormat="1" applyFont="1"/>
    <xf numFmtId="44" fontId="1" fillId="0" borderId="0" xfId="2" applyFont="1"/>
    <xf numFmtId="164" fontId="1" fillId="38" borderId="0" xfId="1" applyNumberFormat="1" applyFont="1" applyFill="1"/>
    <xf numFmtId="8" fontId="1" fillId="0" borderId="0" xfId="2" applyNumberFormat="1" applyFont="1"/>
    <xf numFmtId="9" fontId="1" fillId="0" borderId="0" xfId="3" applyFont="1"/>
    <xf numFmtId="164" fontId="0" fillId="0" borderId="40" xfId="1" applyNumberFormat="1" applyFont="1" applyFill="1" applyBorder="1"/>
    <xf numFmtId="1" fontId="0" fillId="0" borderId="40" xfId="0" applyNumberFormat="1" applyBorder="1"/>
    <xf numFmtId="9" fontId="0" fillId="38" borderId="0" xfId="3" applyFont="1" applyFill="1"/>
    <xf numFmtId="44" fontId="58" fillId="38" borderId="0" xfId="2" applyFont="1" applyFill="1"/>
    <xf numFmtId="44" fontId="58" fillId="38" borderId="0" xfId="80" applyNumberFormat="1" applyFont="1" applyFill="1"/>
    <xf numFmtId="3" fontId="29" fillId="5" borderId="0" xfId="0" applyNumberFormat="1" applyFont="1" applyFill="1" applyAlignment="1" applyProtection="1">
      <alignment horizontal="left"/>
      <protection locked="0"/>
    </xf>
    <xf numFmtId="44" fontId="29" fillId="5" borderId="29" xfId="2" applyFont="1" applyFill="1" applyBorder="1" applyAlignment="1" applyProtection="1">
      <alignment horizontal="left"/>
      <protection locked="0"/>
    </xf>
    <xf numFmtId="164" fontId="22" fillId="5" borderId="25" xfId="1" applyNumberFormat="1" applyFont="1" applyFill="1" applyBorder="1"/>
    <xf numFmtId="0" fontId="20" fillId="5" borderId="25" xfId="0" applyFont="1" applyFill="1" applyBorder="1"/>
    <xf numFmtId="168" fontId="22" fillId="5" borderId="25" xfId="2" applyNumberFormat="1" applyFont="1" applyFill="1" applyBorder="1"/>
    <xf numFmtId="0" fontId="19" fillId="5" borderId="14" xfId="0" applyFont="1" applyFill="1" applyBorder="1"/>
    <xf numFmtId="164" fontId="22" fillId="5" borderId="14" xfId="1" applyNumberFormat="1" applyFont="1" applyFill="1" applyBorder="1"/>
    <xf numFmtId="168" fontId="22" fillId="5" borderId="14" xfId="2" applyNumberFormat="1" applyFont="1" applyFill="1" applyBorder="1"/>
    <xf numFmtId="168" fontId="22" fillId="5" borderId="0" xfId="2" applyNumberFormat="1" applyFont="1" applyFill="1" applyBorder="1"/>
    <xf numFmtId="168" fontId="2" fillId="0" borderId="5" xfId="2" applyNumberFormat="1" applyFont="1" applyBorder="1"/>
    <xf numFmtId="168" fontId="2" fillId="21" borderId="6" xfId="2" applyNumberFormat="1" applyFont="1" applyFill="1" applyBorder="1"/>
    <xf numFmtId="0" fontId="2" fillId="0" borderId="1"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alignment horizontal="center" wrapText="1"/>
    </xf>
    <xf numFmtId="3" fontId="87" fillId="0" borderId="0" xfId="4" applyNumberFormat="1" applyFont="1"/>
    <xf numFmtId="168" fontId="87" fillId="0" borderId="0" xfId="2" applyNumberFormat="1" applyFont="1"/>
    <xf numFmtId="0" fontId="5" fillId="0" borderId="6" xfId="4" applyFont="1" applyBorder="1" applyAlignment="1">
      <alignment horizontal="left"/>
    </xf>
    <xf numFmtId="175" fontId="2" fillId="0" borderId="0" xfId="4" applyNumberFormat="1" applyFont="1"/>
    <xf numFmtId="175" fontId="2" fillId="0" borderId="0" xfId="2" applyNumberFormat="1" applyFont="1"/>
    <xf numFmtId="168" fontId="25" fillId="33" borderId="1" xfId="2" applyNumberFormat="1" applyFont="1" applyFill="1" applyBorder="1"/>
    <xf numFmtId="168" fontId="25" fillId="33" borderId="66" xfId="2" applyNumberFormat="1" applyFont="1" applyFill="1" applyBorder="1"/>
    <xf numFmtId="42" fontId="25" fillId="5" borderId="1" xfId="2" applyNumberFormat="1" applyFont="1" applyFill="1" applyBorder="1"/>
    <xf numFmtId="42" fontId="25" fillId="5" borderId="66" xfId="2" applyNumberFormat="1" applyFont="1" applyFill="1" applyBorder="1"/>
    <xf numFmtId="42" fontId="25" fillId="5" borderId="24" xfId="2" applyNumberFormat="1" applyFont="1" applyFill="1" applyBorder="1"/>
    <xf numFmtId="42" fontId="25" fillId="5" borderId="68" xfId="2" applyNumberFormat="1" applyFont="1" applyFill="1" applyBorder="1"/>
    <xf numFmtId="42" fontId="25" fillId="21" borderId="0" xfId="2" applyNumberFormat="1" applyFont="1" applyFill="1" applyBorder="1"/>
    <xf numFmtId="42" fontId="25" fillId="21" borderId="0" xfId="0" applyNumberFormat="1" applyFont="1" applyFill="1"/>
    <xf numFmtId="42" fontId="2" fillId="21" borderId="1" xfId="0" applyNumberFormat="1" applyFont="1" applyFill="1" applyBorder="1"/>
    <xf numFmtId="42" fontId="2" fillId="21" borderId="6" xfId="0" applyNumberFormat="1" applyFont="1" applyFill="1" applyBorder="1"/>
    <xf numFmtId="42" fontId="25" fillId="5" borderId="0" xfId="0" applyNumberFormat="1" applyFont="1" applyFill="1"/>
    <xf numFmtId="1" fontId="91" fillId="0" borderId="1" xfId="0" applyNumberFormat="1" applyFont="1" applyBorder="1"/>
    <xf numFmtId="168" fontId="59" fillId="0" borderId="72" xfId="78" applyNumberFormat="1" applyBorder="1"/>
    <xf numFmtId="168" fontId="0" fillId="38" borderId="0" xfId="0" applyNumberFormat="1" applyFill="1"/>
    <xf numFmtId="168" fontId="59" fillId="38" borderId="72" xfId="78" applyNumberFormat="1" applyFill="1" applyBorder="1"/>
    <xf numFmtId="0" fontId="19" fillId="5" borderId="28" xfId="0" applyFont="1" applyFill="1" applyBorder="1" applyAlignment="1">
      <alignment horizontal="center" vertical="center" wrapText="1"/>
    </xf>
    <xf numFmtId="0" fontId="19" fillId="5" borderId="0" xfId="0" applyFont="1" applyFill="1" applyAlignment="1">
      <alignment horizontal="center" vertical="center" wrapText="1"/>
    </xf>
    <xf numFmtId="0" fontId="20" fillId="14" borderId="25" xfId="0" applyFont="1" applyFill="1" applyBorder="1"/>
    <xf numFmtId="168" fontId="22" fillId="14" borderId="25" xfId="2" applyNumberFormat="1" applyFont="1" applyFill="1" applyBorder="1"/>
    <xf numFmtId="0" fontId="20" fillId="14" borderId="13" xfId="0" applyFont="1" applyFill="1" applyBorder="1"/>
    <xf numFmtId="0" fontId="15" fillId="13" borderId="31" xfId="0" applyFont="1" applyFill="1" applyBorder="1" applyAlignment="1">
      <alignment horizontal="center" vertical="center" wrapText="1"/>
    </xf>
    <xf numFmtId="168" fontId="22" fillId="14" borderId="77" xfId="2" applyNumberFormat="1" applyFont="1" applyFill="1" applyBorder="1"/>
    <xf numFmtId="168" fontId="22" fillId="14" borderId="13" xfId="2" applyNumberFormat="1" applyFont="1" applyFill="1" applyBorder="1" applyAlignment="1">
      <alignment horizontal="right"/>
    </xf>
    <xf numFmtId="168" fontId="22" fillId="5" borderId="14" xfId="2" applyNumberFormat="1" applyFont="1" applyFill="1" applyBorder="1" applyAlignment="1">
      <alignment horizontal="right"/>
    </xf>
    <xf numFmtId="164" fontId="22" fillId="14" borderId="14" xfId="1" applyNumberFormat="1" applyFont="1" applyFill="1" applyBorder="1" applyAlignment="1">
      <alignment horizontal="right"/>
    </xf>
    <xf numFmtId="43" fontId="2" fillId="0" borderId="0" xfId="0" applyNumberFormat="1" applyFont="1"/>
    <xf numFmtId="2" fontId="25" fillId="5" borderId="1" xfId="2" applyNumberFormat="1" applyFont="1" applyFill="1" applyBorder="1"/>
    <xf numFmtId="0" fontId="12" fillId="5" borderId="0" xfId="0" applyFont="1" applyFill="1" applyAlignment="1">
      <alignment vertical="center"/>
    </xf>
    <xf numFmtId="0" fontId="39" fillId="5" borderId="0" xfId="0" applyFont="1" applyFill="1" applyAlignment="1">
      <alignment vertical="center"/>
    </xf>
    <xf numFmtId="0" fontId="12" fillId="0" borderId="0" xfId="0" applyFont="1" applyAlignment="1">
      <alignment vertical="center"/>
    </xf>
    <xf numFmtId="0" fontId="21" fillId="5" borderId="0" xfId="0" applyFont="1" applyFill="1"/>
    <xf numFmtId="0" fontId="21" fillId="13" borderId="21" xfId="0" applyFont="1" applyFill="1" applyBorder="1"/>
    <xf numFmtId="0" fontId="15" fillId="13" borderId="22" xfId="0" applyFont="1" applyFill="1" applyBorder="1" applyAlignment="1">
      <alignment horizontal="left"/>
    </xf>
    <xf numFmtId="0" fontId="21" fillId="13" borderId="22" xfId="0" applyFont="1" applyFill="1" applyBorder="1"/>
    <xf numFmtId="0" fontId="21" fillId="0" borderId="0" xfId="0" applyFont="1"/>
    <xf numFmtId="0" fontId="29" fillId="5" borderId="0" xfId="0" applyFont="1" applyFill="1"/>
    <xf numFmtId="0" fontId="30" fillId="14" borderId="0" xfId="0" applyFont="1" applyFill="1"/>
    <xf numFmtId="0" fontId="29" fillId="14" borderId="0" xfId="0" applyFont="1" applyFill="1"/>
    <xf numFmtId="0" fontId="30" fillId="14" borderId="0" xfId="0" applyFont="1" applyFill="1" applyAlignment="1">
      <alignment wrapText="1"/>
    </xf>
    <xf numFmtId="0" fontId="40" fillId="14" borderId="0" xfId="0" applyFont="1" applyFill="1"/>
    <xf numFmtId="0" fontId="21" fillId="14" borderId="0" xfId="0" applyFont="1" applyFill="1"/>
    <xf numFmtId="0" fontId="12" fillId="14" borderId="0" xfId="0" applyFont="1" applyFill="1"/>
    <xf numFmtId="0" fontId="12" fillId="0" borderId="0" xfId="0" applyFont="1"/>
    <xf numFmtId="0" fontId="13" fillId="5" borderId="0" xfId="0" applyFont="1" applyFill="1"/>
    <xf numFmtId="0" fontId="34" fillId="14" borderId="0" xfId="0" applyFont="1" applyFill="1"/>
    <xf numFmtId="0" fontId="41" fillId="14" borderId="0" xfId="0" applyFont="1" applyFill="1" applyAlignment="1">
      <alignment horizontal="right"/>
    </xf>
    <xf numFmtId="44" fontId="29" fillId="14" borderId="0" xfId="2" applyFont="1" applyFill="1" applyBorder="1" applyAlignment="1" applyProtection="1"/>
    <xf numFmtId="0" fontId="27" fillId="14" borderId="0" xfId="0" applyFont="1" applyFill="1"/>
    <xf numFmtId="168" fontId="29" fillId="14" borderId="0" xfId="2" applyNumberFormat="1" applyFont="1" applyFill="1" applyBorder="1" applyAlignment="1" applyProtection="1"/>
    <xf numFmtId="168" fontId="52" fillId="14" borderId="0" xfId="2" applyNumberFormat="1" applyFont="1" applyFill="1" applyBorder="1" applyAlignment="1" applyProtection="1"/>
    <xf numFmtId="0" fontId="30" fillId="14" borderId="0" xfId="0" applyFont="1" applyFill="1" applyAlignment="1">
      <alignment vertical="top" wrapText="1"/>
    </xf>
    <xf numFmtId="0" fontId="33" fillId="14" borderId="0" xfId="0" applyFont="1" applyFill="1" applyAlignment="1">
      <alignment horizontal="right"/>
    </xf>
    <xf numFmtId="0" fontId="12" fillId="14" borderId="0" xfId="0" applyFont="1" applyFill="1" applyAlignment="1">
      <alignment vertical="center"/>
    </xf>
    <xf numFmtId="0" fontId="27" fillId="14" borderId="0" xfId="0" applyFont="1" applyFill="1" applyAlignment="1">
      <alignment vertical="center"/>
    </xf>
    <xf numFmtId="0" fontId="21" fillId="5" borderId="0" xfId="0" applyFont="1" applyFill="1" applyProtection="1">
      <protection locked="0"/>
    </xf>
    <xf numFmtId="0" fontId="2" fillId="9" borderId="0" xfId="0" applyFont="1" applyFill="1"/>
    <xf numFmtId="0" fontId="22" fillId="5" borderId="28" xfId="0" applyFont="1" applyFill="1" applyBorder="1"/>
    <xf numFmtId="0" fontId="15" fillId="13" borderId="16" xfId="0" applyFont="1" applyFill="1" applyBorder="1" applyAlignment="1">
      <alignment horizontal="center" vertical="center"/>
    </xf>
    <xf numFmtId="0" fontId="19" fillId="15" borderId="0" xfId="0" applyFont="1" applyFill="1" applyAlignment="1">
      <alignment horizontal="center" vertical="center" wrapText="1"/>
    </xf>
    <xf numFmtId="0" fontId="19" fillId="15" borderId="20" xfId="0" applyFont="1" applyFill="1" applyBorder="1" applyAlignment="1">
      <alignment horizontal="center" vertical="center" wrapText="1"/>
    </xf>
    <xf numFmtId="0" fontId="19" fillId="20" borderId="30" xfId="0" applyFont="1" applyFill="1" applyBorder="1" applyAlignment="1">
      <alignment horizontal="center" vertical="center" wrapText="1"/>
    </xf>
    <xf numFmtId="0" fontId="42" fillId="10" borderId="25" xfId="0" applyFont="1" applyFill="1" applyBorder="1"/>
    <xf numFmtId="0" fontId="22" fillId="10" borderId="25" xfId="0" applyFont="1" applyFill="1" applyBorder="1"/>
    <xf numFmtId="0" fontId="22" fillId="5" borderId="25" xfId="0" applyFont="1" applyFill="1" applyBorder="1"/>
    <xf numFmtId="0" fontId="19" fillId="13" borderId="14" xfId="0" applyFont="1" applyFill="1" applyBorder="1" applyAlignment="1">
      <alignment horizontal="center" vertical="center" wrapText="1"/>
    </xf>
    <xf numFmtId="0" fontId="19" fillId="13" borderId="17"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19" fillId="20" borderId="27" xfId="0" applyFont="1" applyFill="1" applyBorder="1" applyAlignment="1">
      <alignment horizontal="center" vertical="center" wrapText="1"/>
    </xf>
    <xf numFmtId="168" fontId="22" fillId="14" borderId="25" xfId="2" applyNumberFormat="1" applyFont="1" applyFill="1" applyBorder="1" applyAlignment="1" applyProtection="1">
      <alignment horizontal="center"/>
    </xf>
    <xf numFmtId="168" fontId="22" fillId="14" borderId="25" xfId="0" applyNumberFormat="1" applyFont="1" applyFill="1" applyBorder="1" applyAlignment="1">
      <alignment horizontal="center"/>
    </xf>
    <xf numFmtId="168" fontId="22" fillId="14" borderId="27" xfId="2" applyNumberFormat="1" applyFont="1" applyFill="1" applyBorder="1" applyAlignment="1" applyProtection="1">
      <alignment horizontal="center"/>
    </xf>
    <xf numFmtId="168" fontId="22" fillId="14" borderId="27" xfId="0" applyNumberFormat="1" applyFont="1" applyFill="1" applyBorder="1" applyAlignment="1">
      <alignment horizontal="center"/>
    </xf>
    <xf numFmtId="0" fontId="22" fillId="10" borderId="19" xfId="0" applyFont="1" applyFill="1" applyBorder="1"/>
    <xf numFmtId="168" fontId="88" fillId="14" borderId="25" xfId="2" applyNumberFormat="1" applyFont="1" applyFill="1" applyBorder="1" applyAlignment="1" applyProtection="1">
      <alignment horizontal="center"/>
    </xf>
    <xf numFmtId="164" fontId="37" fillId="14" borderId="25" xfId="1" applyNumberFormat="1" applyFont="1" applyFill="1" applyBorder="1" applyAlignment="1" applyProtection="1"/>
    <xf numFmtId="164" fontId="37" fillId="14" borderId="30" xfId="1" applyNumberFormat="1" applyFont="1" applyFill="1" applyBorder="1" applyAlignment="1" applyProtection="1"/>
    <xf numFmtId="0" fontId="19" fillId="2" borderId="27" xfId="0" applyFont="1" applyFill="1" applyBorder="1" applyAlignment="1">
      <alignment horizontal="center"/>
    </xf>
    <xf numFmtId="0" fontId="19" fillId="2" borderId="25" xfId="0" applyFont="1" applyFill="1" applyBorder="1" applyAlignment="1">
      <alignment horizontal="center"/>
    </xf>
    <xf numFmtId="0" fontId="19" fillId="2" borderId="73" xfId="0" applyFont="1" applyFill="1" applyBorder="1" applyAlignment="1">
      <alignment horizontal="center"/>
    </xf>
    <xf numFmtId="0" fontId="19" fillId="2" borderId="0" xfId="0" applyFont="1" applyFill="1" applyAlignment="1">
      <alignment horizontal="center"/>
    </xf>
    <xf numFmtId="0" fontId="22" fillId="5" borderId="16" xfId="0" applyFont="1" applyFill="1" applyBorder="1"/>
    <xf numFmtId="43" fontId="37" fillId="5" borderId="14" xfId="0" applyNumberFormat="1" applyFont="1" applyFill="1" applyBorder="1" applyAlignment="1">
      <alignment horizontal="center"/>
    </xf>
    <xf numFmtId="164" fontId="37" fillId="5" borderId="14" xfId="1" applyNumberFormat="1" applyFont="1" applyFill="1" applyBorder="1" applyAlignment="1" applyProtection="1"/>
    <xf numFmtId="164" fontId="22" fillId="5" borderId="25" xfId="1" applyNumberFormat="1" applyFont="1" applyFill="1" applyBorder="1" applyAlignment="1" applyProtection="1">
      <alignment horizontal="center"/>
    </xf>
    <xf numFmtId="164" fontId="37" fillId="5" borderId="31" xfId="1" applyNumberFormat="1" applyFont="1" applyFill="1" applyBorder="1" applyAlignment="1" applyProtection="1">
      <alignment horizontal="center" vertical="center"/>
    </xf>
    <xf numFmtId="164" fontId="37" fillId="5" borderId="0" xfId="1" applyNumberFormat="1" applyFont="1" applyFill="1" applyBorder="1" applyAlignment="1" applyProtection="1">
      <alignment horizontal="center" vertical="center"/>
    </xf>
    <xf numFmtId="43" fontId="22" fillId="5" borderId="26" xfId="1" applyFont="1" applyFill="1" applyBorder="1" applyAlignment="1" applyProtection="1">
      <alignment horizontal="center"/>
    </xf>
    <xf numFmtId="164" fontId="37" fillId="5" borderId="0" xfId="1" applyNumberFormat="1" applyFont="1" applyFill="1" applyAlignment="1" applyProtection="1">
      <alignment vertical="center"/>
    </xf>
    <xf numFmtId="168" fontId="22" fillId="21" borderId="25" xfId="0" applyNumberFormat="1" applyFont="1" applyFill="1" applyBorder="1" applyAlignment="1">
      <alignment horizontal="center"/>
    </xf>
    <xf numFmtId="164" fontId="2" fillId="5" borderId="0" xfId="0" applyNumberFormat="1" applyFont="1" applyFill="1"/>
    <xf numFmtId="168" fontId="2" fillId="5" borderId="0" xfId="0" applyNumberFormat="1" applyFont="1" applyFill="1"/>
    <xf numFmtId="44" fontId="2" fillId="5" borderId="0" xfId="0" applyNumberFormat="1" applyFont="1" applyFill="1"/>
    <xf numFmtId="0" fontId="19" fillId="20" borderId="13" xfId="0" applyFont="1" applyFill="1" applyBorder="1" applyAlignment="1">
      <alignment horizontal="center" vertical="center" wrapText="1"/>
    </xf>
    <xf numFmtId="0" fontId="19" fillId="13" borderId="76" xfId="0" applyFont="1" applyFill="1" applyBorder="1" applyAlignment="1">
      <alignment horizontal="center" vertical="center" wrapText="1"/>
    </xf>
    <xf numFmtId="0" fontId="19" fillId="20" borderId="25" xfId="0" applyFont="1" applyFill="1" applyBorder="1" applyAlignment="1">
      <alignment horizontal="center" vertical="center" wrapText="1"/>
    </xf>
    <xf numFmtId="0" fontId="19" fillId="13" borderId="17" xfId="0" applyFont="1" applyFill="1" applyBorder="1" applyAlignment="1">
      <alignment horizontal="center" vertical="center" wrapText="1"/>
    </xf>
    <xf numFmtId="0" fontId="19" fillId="13" borderId="16" xfId="0" applyFont="1" applyFill="1" applyBorder="1" applyAlignment="1">
      <alignment horizontal="center" vertical="center" wrapText="1"/>
    </xf>
    <xf numFmtId="0" fontId="19" fillId="13" borderId="14" xfId="0" applyFont="1" applyFill="1" applyBorder="1" applyAlignment="1">
      <alignment horizontal="center" vertical="center" wrapText="1"/>
    </xf>
    <xf numFmtId="0" fontId="19" fillId="13" borderId="31" xfId="0" applyFont="1" applyFill="1" applyBorder="1" applyAlignment="1">
      <alignment horizontal="center" vertical="center" wrapText="1"/>
    </xf>
    <xf numFmtId="0" fontId="22" fillId="5" borderId="74" xfId="0" applyFont="1" applyFill="1" applyBorder="1" applyAlignment="1" applyProtection="1">
      <alignment horizontal="center"/>
      <protection locked="0"/>
    </xf>
    <xf numFmtId="0" fontId="22" fillId="5" borderId="28" xfId="0" applyFont="1" applyFill="1" applyBorder="1" applyAlignment="1" applyProtection="1">
      <alignment horizontal="center"/>
      <protection locked="0"/>
    </xf>
    <xf numFmtId="0" fontId="22" fillId="5" borderId="78" xfId="0" applyFont="1" applyFill="1" applyBorder="1" applyAlignment="1" applyProtection="1">
      <alignment horizontal="center"/>
      <protection locked="0"/>
    </xf>
    <xf numFmtId="37" fontId="22" fillId="14" borderId="27" xfId="1" applyNumberFormat="1" applyFont="1" applyFill="1" applyBorder="1" applyAlignment="1" applyProtection="1">
      <alignment horizontal="center" vertical="center"/>
    </xf>
    <xf numFmtId="37" fontId="22" fillId="14" borderId="25" xfId="1" applyNumberFormat="1" applyFont="1" applyFill="1" applyBorder="1" applyAlignment="1" applyProtection="1">
      <alignment horizontal="center" vertical="center"/>
    </xf>
    <xf numFmtId="37" fontId="22" fillId="14" borderId="18" xfId="1" applyNumberFormat="1" applyFont="1" applyFill="1" applyBorder="1" applyAlignment="1" applyProtection="1">
      <alignment horizontal="center" vertical="center"/>
    </xf>
    <xf numFmtId="37" fontId="22" fillId="14" borderId="75" xfId="1" applyNumberFormat="1" applyFont="1" applyFill="1" applyBorder="1" applyAlignment="1" applyProtection="1">
      <alignment horizontal="center"/>
    </xf>
    <xf numFmtId="37" fontId="22" fillId="14" borderId="0" xfId="1" applyNumberFormat="1" applyFont="1" applyFill="1" applyBorder="1" applyAlignment="1" applyProtection="1">
      <alignment horizontal="center"/>
    </xf>
    <xf numFmtId="0" fontId="26" fillId="5" borderId="11" xfId="0" applyFont="1" applyFill="1" applyBorder="1" applyAlignment="1">
      <alignment horizontal="center" vertical="center" wrapText="1"/>
    </xf>
    <xf numFmtId="0" fontId="26" fillId="5" borderId="62"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5" borderId="0" xfId="0" applyFont="1" applyFill="1" applyAlignment="1">
      <alignment horizontal="center" vertical="center" wrapText="1"/>
    </xf>
    <xf numFmtId="0" fontId="3" fillId="0" borderId="0" xfId="0" applyFont="1" applyAlignment="1">
      <alignment horizontal="center" wrapText="1"/>
    </xf>
    <xf numFmtId="0" fontId="3" fillId="0" borderId="40" xfId="0" applyFont="1" applyBorder="1" applyAlignment="1">
      <alignment horizontal="center" wrapText="1"/>
    </xf>
    <xf numFmtId="0" fontId="3" fillId="9" borderId="0" xfId="0" applyFont="1" applyFill="1" applyAlignment="1">
      <alignment horizontal="center" wrapText="1"/>
    </xf>
    <xf numFmtId="0" fontId="3" fillId="9" borderId="40" xfId="0" applyFont="1" applyFill="1" applyBorder="1" applyAlignment="1">
      <alignment horizontal="center" wrapText="1"/>
    </xf>
    <xf numFmtId="0" fontId="3" fillId="20" borderId="0" xfId="0" applyFont="1" applyFill="1" applyAlignment="1">
      <alignment horizontal="center" wrapText="1"/>
    </xf>
    <xf numFmtId="0" fontId="3" fillId="20" borderId="40" xfId="0" applyFont="1" applyFill="1" applyBorder="1" applyAlignment="1">
      <alignment horizontal="center" wrapText="1"/>
    </xf>
    <xf numFmtId="0" fontId="2" fillId="20" borderId="0" xfId="0" applyFont="1" applyFill="1" applyAlignment="1">
      <alignment horizontal="center" wrapText="1"/>
    </xf>
    <xf numFmtId="0" fontId="2" fillId="20" borderId="40" xfId="0" applyFont="1" applyFill="1" applyBorder="1" applyAlignment="1">
      <alignment horizontal="center" wrapText="1"/>
    </xf>
    <xf numFmtId="0" fontId="56" fillId="0" borderId="43" xfId="75" applyAlignment="1">
      <alignment horizontal="center"/>
    </xf>
    <xf numFmtId="5" fontId="66" fillId="0" borderId="48" xfId="0" applyNumberFormat="1" applyFont="1" applyBorder="1" applyAlignment="1">
      <alignment horizontal="center"/>
    </xf>
    <xf numFmtId="5" fontId="66" fillId="0" borderId="0" xfId="0" applyNumberFormat="1" applyFont="1" applyAlignment="1">
      <alignment horizontal="center"/>
    </xf>
    <xf numFmtId="0" fontId="19" fillId="13" borderId="18" xfId="0" applyFont="1" applyFill="1" applyBorder="1" applyAlignment="1">
      <alignment horizontal="center" vertical="center" wrapText="1"/>
    </xf>
    <xf numFmtId="0" fontId="2" fillId="21" borderId="75" xfId="0" applyFont="1" applyFill="1" applyBorder="1" applyAlignment="1" applyProtection="1">
      <alignment horizontal="center"/>
      <protection locked="0"/>
    </xf>
    <xf numFmtId="0" fontId="2" fillId="21" borderId="0" xfId="0" applyFont="1" applyFill="1" applyAlignment="1" applyProtection="1">
      <alignment horizontal="center"/>
      <protection locked="0"/>
    </xf>
  </cellXfs>
  <cellStyles count="83">
    <cellStyle name="40% - Accent1" xfId="80" builtinId="31"/>
    <cellStyle name="40% - Accent4" xfId="81" builtinId="43"/>
    <cellStyle name="Accent1" xfId="79" builtinId="29"/>
    <cellStyle name="Comma" xfId="1" builtinId="3"/>
    <cellStyle name="Comma 2" xfId="7" xr:uid="{00000000-0005-0000-0000-000001000000}"/>
    <cellStyle name="Comma 3" xfId="5" xr:uid="{00000000-0005-0000-0000-000002000000}"/>
    <cellStyle name="Currency" xfId="2" builtinId="4"/>
    <cellStyle name="Excel Built-in Normal" xfId="82" xr:uid="{6DEC746C-548D-40D8-9C9B-131D8AF32367}"/>
    <cellStyle name="Followed Hyperlink" xfId="19" builtinId="9" hidden="1"/>
    <cellStyle name="Followed Hyperlink" xfId="13" builtinId="9" hidden="1"/>
    <cellStyle name="Followed Hyperlink" xfId="11" builtinId="9" hidden="1"/>
    <cellStyle name="Followed Hyperlink" xfId="17" builtinId="9" hidden="1"/>
    <cellStyle name="Followed Hyperlink" xfId="21" builtinId="9" hidden="1"/>
    <cellStyle name="Followed Hyperlink" xfId="59" builtinId="9" hidden="1"/>
    <cellStyle name="Followed Hyperlink" xfId="65" builtinId="9" hidden="1"/>
    <cellStyle name="Followed Hyperlink" xfId="49" builtinId="9" hidden="1"/>
    <cellStyle name="Followed Hyperlink" xfId="53" builtinId="9" hidden="1"/>
    <cellStyle name="Followed Hyperlink" xfId="55" builtinId="9" hidden="1"/>
    <cellStyle name="Followed Hyperlink" xfId="61" builtinId="9" hidden="1"/>
    <cellStyle name="Followed Hyperlink" xfId="45" builtinId="9" hidden="1"/>
    <cellStyle name="Followed Hyperlink" xfId="39" builtinId="9" hidden="1"/>
    <cellStyle name="Followed Hyperlink" xfId="37" builtinId="9" hidden="1"/>
    <cellStyle name="Followed Hyperlink" xfId="33" builtinId="9" hidden="1"/>
    <cellStyle name="Followed Hyperlink" xfId="41" builtinId="9" hidden="1"/>
    <cellStyle name="Followed Hyperlink" xfId="57" builtinId="9" hidden="1"/>
    <cellStyle name="Followed Hyperlink" xfId="47" builtinId="9" hidden="1"/>
    <cellStyle name="Followed Hyperlink" xfId="29" builtinId="9" hidden="1"/>
    <cellStyle name="Followed Hyperlink" xfId="15" builtinId="9" hidden="1"/>
    <cellStyle name="Followed Hyperlink" xfId="43" builtinId="9" hidden="1"/>
    <cellStyle name="Followed Hyperlink" xfId="35" builtinId="9" hidden="1"/>
    <cellStyle name="Followed Hyperlink" xfId="23" builtinId="9" hidden="1"/>
    <cellStyle name="Followed Hyperlink" xfId="25" builtinId="9" hidden="1"/>
    <cellStyle name="Followed Hyperlink" xfId="27" builtinId="9" hidden="1"/>
    <cellStyle name="Followed Hyperlink" xfId="31" builtinId="9" hidden="1"/>
    <cellStyle name="Followed Hyperlink" xfId="51" builtinId="9" hidden="1"/>
    <cellStyle name="Followed Hyperlink" xfId="71" builtinId="9" hidden="1"/>
    <cellStyle name="Followed Hyperlink" xfId="67" builtinId="9" hidden="1"/>
    <cellStyle name="Followed Hyperlink" xfId="69" builtinId="9" hidden="1"/>
    <cellStyle name="Followed Hyperlink" xfId="63" builtinId="9" hidden="1"/>
    <cellStyle name="Heading 1" xfId="74" builtinId="16"/>
    <cellStyle name="Heading 2" xfId="75" builtinId="17"/>
    <cellStyle name="Heading 3" xfId="76" builtinId="18"/>
    <cellStyle name="Heading 4" xfId="77" builtinId="19"/>
    <cellStyle name="Hyperlink" xfId="30" builtinId="8" hidden="1"/>
    <cellStyle name="Hyperlink" xfId="32" builtinId="8" hidden="1"/>
    <cellStyle name="Hyperlink" xfId="56" builtinId="8" hidden="1"/>
    <cellStyle name="Hyperlink" xfId="66" builtinId="8" hidden="1"/>
    <cellStyle name="Hyperlink" xfId="60" builtinId="8" hidden="1"/>
    <cellStyle name="Hyperlink" xfId="58" builtinId="8" hidden="1"/>
    <cellStyle name="Hyperlink" xfId="62" builtinId="8" hidden="1"/>
    <cellStyle name="Hyperlink" xfId="64" builtinId="8" hidden="1"/>
    <cellStyle name="Hyperlink" xfId="38" builtinId="8" hidden="1"/>
    <cellStyle name="Hyperlink" xfId="42" builtinId="8" hidden="1"/>
    <cellStyle name="Hyperlink" xfId="44" builtinId="8" hidden="1"/>
    <cellStyle name="Hyperlink" xfId="48" builtinId="8" hidden="1"/>
    <cellStyle name="Hyperlink" xfId="50" builtinId="8" hidden="1"/>
    <cellStyle name="Hyperlink" xfId="54" builtinId="8" hidden="1"/>
    <cellStyle name="Hyperlink" xfId="40" builtinId="8" hidden="1"/>
    <cellStyle name="Hyperlink" xfId="18" builtinId="8" hidden="1"/>
    <cellStyle name="Hyperlink" xfId="20" builtinId="8" hidden="1"/>
    <cellStyle name="Hyperlink" xfId="46" builtinId="8" hidden="1"/>
    <cellStyle name="Hyperlink" xfId="68" builtinId="8" hidden="1"/>
    <cellStyle name="Hyperlink" xfId="70" builtinId="8" hidden="1"/>
    <cellStyle name="Hyperlink" xfId="52" builtinId="8" hidden="1"/>
    <cellStyle name="Hyperlink" xfId="12" builtinId="8" hidden="1"/>
    <cellStyle name="Hyperlink" xfId="10" builtinId="8" hidden="1"/>
    <cellStyle name="Hyperlink" xfId="14" builtinId="8" hidden="1"/>
    <cellStyle name="Hyperlink" xfId="34" builtinId="8" hidden="1"/>
    <cellStyle name="Hyperlink" xfId="36" builtinId="8" hidden="1"/>
    <cellStyle name="Hyperlink" xfId="22" builtinId="8" hidden="1"/>
    <cellStyle name="Hyperlink" xfId="24" builtinId="8" hidden="1"/>
    <cellStyle name="Hyperlink" xfId="16" builtinId="8" hidden="1"/>
    <cellStyle name="Hyperlink" xfId="28" builtinId="8" hidden="1"/>
    <cellStyle name="Hyperlink" xfId="26" builtinId="8" hidden="1"/>
    <cellStyle name="Hyperlink" xfId="72" builtinId="8"/>
    <cellStyle name="Normal" xfId="0" builtinId="0"/>
    <cellStyle name="Normal 2" xfId="6" xr:uid="{00000000-0005-0000-0000-000043000000}"/>
    <cellStyle name="Normal 3" xfId="4" xr:uid="{00000000-0005-0000-0000-000044000000}"/>
    <cellStyle name="Normal_MSU MRF Cost Splits.XLS" xfId="9" xr:uid="{00000000-0005-0000-0000-000045000000}"/>
    <cellStyle name="Percent" xfId="3" builtinId="5"/>
    <cellStyle name="Percent 2" xfId="8" xr:uid="{00000000-0005-0000-0000-000047000000}"/>
    <cellStyle name="Title" xfId="73" builtinId="15"/>
    <cellStyle name="Total" xfId="78" builtinId="25"/>
  </cellStyles>
  <dxfs count="0"/>
  <tableStyles count="0" defaultTableStyle="TableStyleMedium2" defaultPivotStyle="PivotStyleLight16"/>
  <colors>
    <mruColors>
      <color rgb="FFFFFF66"/>
      <color rgb="FF000000"/>
      <color rgb="FF009394"/>
      <color rgb="FFFFFF99"/>
      <color rgb="FF006666"/>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295274</xdr:colOff>
      <xdr:row>3</xdr:row>
      <xdr:rowOff>69392</xdr:rowOff>
    </xdr:from>
    <xdr:to>
      <xdr:col>16</xdr:col>
      <xdr:colOff>12247</xdr:colOff>
      <xdr:row>104</xdr:row>
      <xdr:rowOff>105832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28107" y="1265309"/>
          <a:ext cx="9083223" cy="1820802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74320" tIns="182880" rIns="274320" bIns="182880" rtlCol="0" anchor="t"/>
        <a:lstStyle/>
        <a:p>
          <a:pPr algn="l"/>
          <a:r>
            <a:rPr lang="en-US" sz="1500" i="0">
              <a:solidFill>
                <a:schemeClr val="bg2">
                  <a:lumMod val="25000"/>
                </a:schemeClr>
              </a:solidFill>
              <a:effectLst/>
              <a:latin typeface="News Gothic MT" charset="0"/>
              <a:ea typeface="News Gothic MT" charset="0"/>
              <a:cs typeface="News Gothic MT" charset="0"/>
            </a:rPr>
            <a:t>The following instructions will guide the user through the Great Lakes Region</a:t>
          </a:r>
          <a:r>
            <a:rPr lang="en-US" sz="1500" i="0" baseline="0">
              <a:solidFill>
                <a:schemeClr val="bg2">
                  <a:lumMod val="25000"/>
                </a:schemeClr>
              </a:solidFill>
              <a:effectLst/>
              <a:latin typeface="News Gothic MT" charset="0"/>
              <a:ea typeface="News Gothic MT" charset="0"/>
              <a:cs typeface="News Gothic MT" charset="0"/>
            </a:rPr>
            <a:t> Integrated Solid Waste Management (ISWM)</a:t>
          </a:r>
          <a:r>
            <a:rPr lang="en-US" sz="1500" i="0">
              <a:solidFill>
                <a:schemeClr val="bg2">
                  <a:lumMod val="25000"/>
                </a:schemeClr>
              </a:solidFill>
              <a:effectLst/>
              <a:latin typeface="News Gothic MT" charset="0"/>
              <a:ea typeface="News Gothic MT" charset="0"/>
              <a:cs typeface="News Gothic MT" charset="0"/>
            </a:rPr>
            <a:t> spreadsheet version</a:t>
          </a:r>
          <a:r>
            <a:rPr lang="en-US" sz="1500" i="0" baseline="0">
              <a:solidFill>
                <a:schemeClr val="bg2">
                  <a:lumMod val="25000"/>
                </a:schemeClr>
              </a:solidFill>
              <a:effectLst/>
              <a:latin typeface="News Gothic MT" charset="0"/>
              <a:ea typeface="News Gothic MT" charset="0"/>
              <a:cs typeface="News Gothic MT" charset="0"/>
            </a:rPr>
            <a:t> 1</a:t>
          </a:r>
          <a:r>
            <a:rPr lang="en-US" sz="1500" i="0">
              <a:solidFill>
                <a:schemeClr val="bg2">
                  <a:lumMod val="25000"/>
                </a:schemeClr>
              </a:solidFill>
              <a:effectLst/>
              <a:latin typeface="News Gothic MT" charset="0"/>
              <a:ea typeface="News Gothic MT" charset="0"/>
              <a:cs typeface="News Gothic MT" charset="0"/>
            </a:rPr>
            <a:t> (created</a:t>
          </a:r>
          <a:r>
            <a:rPr lang="en-US" sz="1500" i="0" baseline="0">
              <a:solidFill>
                <a:schemeClr val="bg2">
                  <a:lumMod val="25000"/>
                </a:schemeClr>
              </a:solidFill>
              <a:effectLst/>
              <a:latin typeface="News Gothic MT" charset="0"/>
              <a:ea typeface="News Gothic MT" charset="0"/>
              <a:cs typeface="News Gothic MT" charset="0"/>
            </a:rPr>
            <a:t> March 2022)</a:t>
          </a:r>
          <a:r>
            <a:rPr lang="en-US" sz="1500" i="0">
              <a:solidFill>
                <a:schemeClr val="bg2">
                  <a:lumMod val="25000"/>
                </a:schemeClr>
              </a:solidFill>
              <a:effectLst/>
              <a:latin typeface="News Gothic MT" charset="0"/>
              <a:ea typeface="News Gothic MT" charset="0"/>
              <a:cs typeface="News Gothic MT" charset="0"/>
            </a:rPr>
            <a:t>.</a:t>
          </a:r>
          <a:r>
            <a:rPr lang="en-US" sz="1500" i="0" baseline="0">
              <a:solidFill>
                <a:schemeClr val="bg2">
                  <a:lumMod val="25000"/>
                </a:schemeClr>
              </a:solidFill>
              <a:effectLst/>
              <a:latin typeface="News Gothic MT" charset="0"/>
              <a:ea typeface="News Gothic MT" charset="0"/>
              <a:cs typeface="News Gothic MT" charset="0"/>
            </a:rPr>
            <a:t> </a:t>
          </a:r>
          <a:r>
            <a:rPr lang="en-US" sz="1500" i="0">
              <a:solidFill>
                <a:schemeClr val="bg2">
                  <a:lumMod val="25000"/>
                </a:schemeClr>
              </a:solidFill>
              <a:effectLst/>
              <a:latin typeface="News Gothic MT" charset="0"/>
              <a:ea typeface="News Gothic MT" charset="0"/>
              <a:cs typeface="News Gothic MT" charset="0"/>
            </a:rPr>
            <a:t>This spreadsheet is designed to be used by local governments as a decision making tool. By entering data about your community, including location, community description, number of households and other information, the model will provide an output with directional insights for comparing costs and impacts of various programs. The outputs are designed to help local governments compare the costs and impacts of one ISWM program choice versus another. </a:t>
          </a:r>
          <a:br>
            <a:rPr lang="en-US" sz="1600" i="1">
              <a:solidFill>
                <a:sysClr val="windowText" lastClr="000000"/>
              </a:solidFill>
              <a:effectLst/>
              <a:latin typeface="News Gothic MT" charset="0"/>
              <a:ea typeface="News Gothic MT" charset="0"/>
              <a:cs typeface="News Gothic MT" charset="0"/>
            </a:rPr>
          </a:br>
          <a:endParaRPr lang="en-US" sz="1600" strike="sngStrike" baseline="0">
            <a:solidFill>
              <a:sysClr val="windowText" lastClr="000000"/>
            </a:solidFill>
            <a:effectLst/>
            <a:latin typeface="News Gothic MT" charset="0"/>
            <a:ea typeface="News Gothic MT" charset="0"/>
            <a:cs typeface="News Gothic MT" charset="0"/>
          </a:endParaRPr>
        </a:p>
        <a:p>
          <a:pPr algn="l"/>
          <a:endParaRPr lang="en-US" sz="1100" b="1">
            <a:solidFill>
              <a:schemeClr val="dk1"/>
            </a:solidFill>
            <a:effectLst/>
            <a:latin typeface="News Gothic MT" charset="0"/>
            <a:ea typeface="News Gothic MT" charset="0"/>
            <a:cs typeface="News Gothic MT" charset="0"/>
          </a:endParaRPr>
        </a:p>
        <a:p>
          <a:pPr algn="l"/>
          <a:r>
            <a:rPr lang="en-US" sz="2800" b="1">
              <a:solidFill>
                <a:schemeClr val="accent1"/>
              </a:solidFill>
              <a:effectLst/>
              <a:latin typeface="Gill Sans MT Condensed" charset="0"/>
              <a:ea typeface="Gill Sans MT Condensed" charset="0"/>
              <a:cs typeface="Gill Sans MT Condensed" charset="0"/>
            </a:rPr>
            <a:t>GENERAL</a:t>
          </a:r>
          <a:r>
            <a:rPr lang="en-US" sz="2800" b="1" baseline="0">
              <a:solidFill>
                <a:schemeClr val="accent1"/>
              </a:solidFill>
              <a:effectLst/>
              <a:latin typeface="Gill Sans MT Condensed" charset="0"/>
              <a:ea typeface="Gill Sans MT Condensed" charset="0"/>
              <a:cs typeface="Gill Sans MT Condensed" charset="0"/>
            </a:rPr>
            <a:t> INSTRUCTIONS</a:t>
          </a:r>
          <a:endParaRPr lang="en-US" sz="2800">
            <a:solidFill>
              <a:schemeClr val="accent1"/>
            </a:solidFill>
            <a:effectLst/>
            <a:latin typeface="Gill Sans MT Condensed" charset="0"/>
            <a:ea typeface="Gill Sans MT Condensed" charset="0"/>
            <a:cs typeface="Gill Sans MT Condensed" charset="0"/>
          </a:endParaRPr>
        </a:p>
        <a:p>
          <a:pPr lvl="0" algn="l"/>
          <a:r>
            <a:rPr lang="en-US" sz="1100">
              <a:solidFill>
                <a:schemeClr val="bg2">
                  <a:lumMod val="25000"/>
                </a:schemeClr>
              </a:solidFill>
              <a:effectLst/>
              <a:latin typeface="News Gothic MT" charset="0"/>
              <a:ea typeface="News Gothic MT" charset="0"/>
              <a:cs typeface="News Gothic MT" charset="0"/>
            </a:rPr>
            <a:t>1. Open the ‘Inputs’ worksheet.</a:t>
          </a:r>
        </a:p>
        <a:p>
          <a:pPr lvl="0" algn="l"/>
          <a:r>
            <a:rPr lang="en-US" sz="1100">
              <a:solidFill>
                <a:schemeClr val="bg2">
                  <a:lumMod val="25000"/>
                </a:schemeClr>
              </a:solidFill>
              <a:effectLst/>
              <a:latin typeface="News Gothic MT" charset="0"/>
              <a:ea typeface="News Gothic MT" charset="0"/>
              <a:cs typeface="News Gothic MT" charset="0"/>
            </a:rPr>
            <a:t>2. Complete all fifteen questions.</a:t>
          </a:r>
        </a:p>
        <a:p>
          <a:pPr lvl="0" algn="l"/>
          <a:r>
            <a:rPr lang="en-US" sz="1100">
              <a:solidFill>
                <a:schemeClr val="bg2">
                  <a:lumMod val="25000"/>
                </a:schemeClr>
              </a:solidFill>
              <a:effectLst/>
              <a:latin typeface="News Gothic MT" charset="0"/>
              <a:ea typeface="News Gothic MT" charset="0"/>
              <a:cs typeface="News Gothic MT" charset="0"/>
            </a:rPr>
            <a:t>3. You must fill in responses for Questions 1 through 3.</a:t>
          </a:r>
        </a:p>
        <a:p>
          <a:pPr lvl="0" algn="l"/>
          <a:r>
            <a:rPr lang="en-US" sz="1100">
              <a:solidFill>
                <a:schemeClr val="bg2">
                  <a:lumMod val="25000"/>
                </a:schemeClr>
              </a:solidFill>
              <a:effectLst/>
              <a:latin typeface="News Gothic MT" charset="0"/>
              <a:ea typeface="News Gothic MT" charset="0"/>
              <a:cs typeface="News Gothic MT" charset="0"/>
            </a:rPr>
            <a:t>4. If you do not know the answer to Questions 4 through 15, choose the </a:t>
          </a:r>
          <a:r>
            <a:rPr lang="en-US" sz="1100" i="1">
              <a:solidFill>
                <a:schemeClr val="bg2">
                  <a:lumMod val="25000"/>
                </a:schemeClr>
              </a:solidFill>
              <a:effectLst/>
              <a:latin typeface="News Gothic MT" charset="0"/>
              <a:ea typeface="News Gothic MT" charset="0"/>
              <a:cs typeface="News Gothic MT" charset="0"/>
            </a:rPr>
            <a:t>"Default" </a:t>
          </a:r>
          <a:r>
            <a:rPr lang="en-US" sz="1100">
              <a:solidFill>
                <a:schemeClr val="bg2">
                  <a:lumMod val="25000"/>
                </a:schemeClr>
              </a:solidFill>
              <a:effectLst/>
              <a:latin typeface="News Gothic MT" charset="0"/>
              <a:ea typeface="News Gothic MT" charset="0"/>
              <a:cs typeface="News Gothic MT" charset="0"/>
            </a:rPr>
            <a:t>setting</a:t>
          </a:r>
          <a:r>
            <a:rPr lang="en-US" sz="1100" baseline="0">
              <a:solidFill>
                <a:schemeClr val="bg2">
                  <a:lumMod val="25000"/>
                </a:schemeClr>
              </a:solidFill>
              <a:effectLst/>
              <a:latin typeface="News Gothic MT" charset="0"/>
              <a:ea typeface="News Gothic MT" charset="0"/>
              <a:cs typeface="News Gothic MT" charset="0"/>
            </a:rPr>
            <a:t> for each.</a:t>
          </a:r>
          <a:endParaRPr lang="en-US" sz="1100">
            <a:solidFill>
              <a:schemeClr val="bg2">
                <a:lumMod val="25000"/>
              </a:schemeClr>
            </a:solidFill>
            <a:effectLst/>
            <a:latin typeface="News Gothic MT" charset="0"/>
            <a:ea typeface="News Gothic MT" charset="0"/>
            <a:cs typeface="News Gothic MT" charset="0"/>
          </a:endParaRPr>
        </a:p>
        <a:p>
          <a:pPr lvl="0" algn="l"/>
          <a:r>
            <a:rPr lang="en-US" sz="1100">
              <a:solidFill>
                <a:schemeClr val="bg2">
                  <a:lumMod val="25000"/>
                </a:schemeClr>
              </a:solidFill>
              <a:effectLst/>
              <a:latin typeface="News Gothic MT" charset="0"/>
              <a:ea typeface="News Gothic MT" charset="0"/>
              <a:cs typeface="News Gothic MT" charset="0"/>
            </a:rPr>
            <a:t>5. Open the ‘Results</a:t>
          </a:r>
          <a:r>
            <a:rPr lang="en-US" sz="1100" baseline="0">
              <a:solidFill>
                <a:schemeClr val="bg2">
                  <a:lumMod val="25000"/>
                </a:schemeClr>
              </a:solidFill>
              <a:effectLst/>
              <a:latin typeface="News Gothic MT" charset="0"/>
              <a:ea typeface="News Gothic MT" charset="0"/>
              <a:cs typeface="News Gothic MT" charset="0"/>
            </a:rPr>
            <a:t> - Collection</a:t>
          </a:r>
          <a:r>
            <a:rPr lang="en-US" sz="1100">
              <a:solidFill>
                <a:schemeClr val="bg2">
                  <a:lumMod val="25000"/>
                </a:schemeClr>
              </a:solidFill>
              <a:effectLst/>
              <a:latin typeface="News Gothic MT" charset="0"/>
              <a:ea typeface="News Gothic MT" charset="0"/>
              <a:cs typeface="News Gothic MT" charset="0"/>
            </a:rPr>
            <a:t>’ page to see the model results</a:t>
          </a:r>
          <a:r>
            <a:rPr lang="en-US" sz="1100" baseline="0">
              <a:solidFill>
                <a:schemeClr val="bg2">
                  <a:lumMod val="25000"/>
                </a:schemeClr>
              </a:solidFill>
              <a:effectLst/>
              <a:latin typeface="News Gothic MT" charset="0"/>
              <a:ea typeface="News Gothic MT" charset="0"/>
              <a:cs typeface="News Gothic MT" charset="0"/>
            </a:rPr>
            <a:t> for collection, and 'Results - Hub and Spoke' to see the hub &amp; spoke results.</a:t>
          </a:r>
          <a:endParaRPr lang="en-US" sz="1100">
            <a:solidFill>
              <a:schemeClr val="bg2">
                <a:lumMod val="25000"/>
              </a:schemeClr>
            </a:solidFill>
            <a:effectLst/>
            <a:latin typeface="News Gothic MT" charset="0"/>
            <a:ea typeface="News Gothic MT" charset="0"/>
            <a:cs typeface="News Gothic MT" charset="0"/>
          </a:endParaRPr>
        </a:p>
        <a:p>
          <a:pPr lvl="0" algn="l"/>
          <a:r>
            <a:rPr lang="en-US" sz="1100">
              <a:solidFill>
                <a:schemeClr val="bg2">
                  <a:lumMod val="25000"/>
                </a:schemeClr>
              </a:solidFill>
              <a:effectLst/>
              <a:latin typeface="News Gothic MT" charset="0"/>
              <a:ea typeface="News Gothic MT" charset="0"/>
              <a:cs typeface="News Gothic MT" charset="0"/>
            </a:rPr>
            <a:t>6. Once you have completed a single model run, consider changing some of the inputs to understand what impacts the choices you make will have on the overall costs and impacts of your program.</a:t>
          </a:r>
        </a:p>
        <a:p>
          <a:pPr algn="ctr"/>
          <a:endParaRPr lang="en-US" sz="1100" b="1">
            <a:solidFill>
              <a:schemeClr val="dk1"/>
            </a:solidFill>
            <a:effectLst/>
            <a:latin typeface="Calibri" panose="020F0502020204030204" pitchFamily="34" charset="0"/>
            <a:ea typeface="+mn-ea"/>
            <a:cs typeface="Calibri" panose="020F0502020204030204" pitchFamily="34" charset="0"/>
          </a:endParaRPr>
        </a:p>
        <a:p>
          <a:pPr algn="ctr"/>
          <a:endParaRPr lang="en-US" sz="1100" b="1">
            <a:solidFill>
              <a:schemeClr val="dk1"/>
            </a:solidFill>
            <a:effectLst/>
            <a:latin typeface="Calibri" panose="020F0502020204030204" pitchFamily="34" charset="0"/>
            <a:ea typeface="+mn-ea"/>
            <a:cs typeface="Calibri" panose="020F0502020204030204" pitchFamily="34" charset="0"/>
          </a:endParaRPr>
        </a:p>
        <a:p>
          <a:pPr algn="l"/>
          <a:r>
            <a:rPr lang="en-US" sz="2800" b="1">
              <a:solidFill>
                <a:schemeClr val="accent1"/>
              </a:solidFill>
              <a:effectLst/>
              <a:latin typeface="Gill Sans MT Condensed" charset="0"/>
              <a:ea typeface="Gill Sans MT Condensed" charset="0"/>
              <a:cs typeface="Gill Sans MT Condensed" charset="0"/>
            </a:rPr>
            <a:t>DETAILED INSTRUCTIONS</a:t>
          </a:r>
          <a:endParaRPr lang="en-US" sz="2800">
            <a:solidFill>
              <a:schemeClr val="accent1"/>
            </a:solidFill>
            <a:effectLst/>
            <a:latin typeface="Gill Sans MT Condensed" charset="0"/>
            <a:ea typeface="Gill Sans MT Condensed" charset="0"/>
            <a:cs typeface="Gill Sans MT Condensed" charset="0"/>
          </a:endParaRPr>
        </a:p>
        <a:p>
          <a:pPr algn="l"/>
          <a:endParaRPr lang="en-US" sz="1100" b="1" i="1">
            <a:solidFill>
              <a:schemeClr val="dk1"/>
            </a:solidFill>
            <a:effectLst/>
            <a:latin typeface="Calibri" panose="020F0502020204030204" pitchFamily="34" charset="0"/>
            <a:ea typeface="+mn-ea"/>
            <a:cs typeface="Calibri" panose="020F0502020204030204" pitchFamily="34" charset="0"/>
          </a:endParaRPr>
        </a:p>
        <a:p>
          <a:pPr algn="l"/>
          <a:r>
            <a:rPr lang="en-US" sz="1100" b="1" i="0">
              <a:solidFill>
                <a:schemeClr val="bg2">
                  <a:lumMod val="25000"/>
                </a:schemeClr>
              </a:solidFill>
              <a:effectLst/>
              <a:latin typeface="News Gothic MT" charset="0"/>
              <a:ea typeface="News Gothic MT" charset="0"/>
              <a:cs typeface="News Gothic MT" charset="0"/>
            </a:rPr>
            <a:t>Q1. Enter your community name:</a:t>
          </a:r>
          <a:r>
            <a:rPr lang="en-US" sz="1100" i="0">
              <a:solidFill>
                <a:schemeClr val="bg2">
                  <a:lumMod val="25000"/>
                </a:schemeClr>
              </a:solidFill>
              <a:effectLst/>
              <a:latin typeface="News Gothic MT" charset="0"/>
              <a:ea typeface="News Gothic MT" charset="0"/>
              <a:cs typeface="News Gothic MT" charset="0"/>
            </a:rPr>
            <a:t> Type the name of your community in the cell. The community name will appear in the model’s printable output.</a:t>
          </a:r>
        </a:p>
        <a:p>
          <a:pPr algn="l"/>
          <a:endParaRPr lang="en-US" sz="1100" i="0">
            <a:solidFill>
              <a:schemeClr val="bg2">
                <a:lumMod val="25000"/>
              </a:schemeClr>
            </a:solidFill>
            <a:effectLst/>
            <a:latin typeface="News Gothic MT" charset="0"/>
            <a:ea typeface="News Gothic MT" charset="0"/>
            <a:cs typeface="News Gothic MT" charset="0"/>
          </a:endParaRPr>
        </a:p>
        <a:p>
          <a:pPr algn="l"/>
          <a:r>
            <a:rPr lang="en-US" sz="1100" b="1" i="0">
              <a:solidFill>
                <a:schemeClr val="bg2">
                  <a:lumMod val="25000"/>
                </a:schemeClr>
              </a:solidFill>
              <a:effectLst/>
              <a:latin typeface="News Gothic MT" charset="0"/>
              <a:ea typeface="News Gothic MT" charset="0"/>
              <a:cs typeface="News Gothic MT" charset="0"/>
            </a:rPr>
            <a:t>Q2. Choose your State from the drop down list:</a:t>
          </a:r>
          <a:r>
            <a:rPr lang="en-US" sz="1100" i="0">
              <a:solidFill>
                <a:schemeClr val="bg2">
                  <a:lumMod val="25000"/>
                </a:schemeClr>
              </a:solidFill>
              <a:effectLst/>
              <a:latin typeface="News Gothic MT" charset="0"/>
              <a:ea typeface="News Gothic MT" charset="0"/>
              <a:cs typeface="News Gothic MT" charset="0"/>
            </a:rPr>
            <a:t>  Each state has individual attributes that will impact the model outputs,</a:t>
          </a:r>
          <a:r>
            <a:rPr lang="en-US" sz="1100" i="0" baseline="0">
              <a:solidFill>
                <a:schemeClr val="bg2">
                  <a:lumMod val="25000"/>
                </a:schemeClr>
              </a:solidFill>
              <a:effectLst/>
              <a:latin typeface="News Gothic MT" charset="0"/>
              <a:ea typeface="News Gothic MT" charset="0"/>
              <a:cs typeface="News Gothic MT" charset="0"/>
            </a:rPr>
            <a:t> you must choose an option.</a:t>
          </a:r>
          <a:endParaRPr lang="en-US" sz="1100" i="0">
            <a:solidFill>
              <a:schemeClr val="bg2">
                <a:lumMod val="25000"/>
              </a:schemeClr>
            </a:solidFill>
            <a:effectLst/>
            <a:latin typeface="News Gothic MT" charset="0"/>
            <a:ea typeface="News Gothic MT" charset="0"/>
            <a:cs typeface="News Gothic MT" charset="0"/>
          </a:endParaRPr>
        </a:p>
        <a:p>
          <a:pPr algn="l"/>
          <a:endParaRPr lang="en-US" sz="1100" i="0">
            <a:solidFill>
              <a:schemeClr val="bg2">
                <a:lumMod val="25000"/>
              </a:schemeClr>
            </a:solidFill>
            <a:effectLst/>
            <a:latin typeface="News Gothic MT" charset="0"/>
            <a:ea typeface="News Gothic MT" charset="0"/>
            <a:cs typeface="News Gothic MT" charset="0"/>
          </a:endParaRPr>
        </a:p>
        <a:p>
          <a:pPr algn="l"/>
          <a:r>
            <a:rPr lang="en-US" sz="1100" b="1" i="0" u="none">
              <a:solidFill>
                <a:schemeClr val="bg2">
                  <a:lumMod val="25000"/>
                </a:schemeClr>
              </a:solidFill>
              <a:effectLst/>
              <a:latin typeface="News Gothic MT" charset="0"/>
              <a:ea typeface="News Gothic MT" charset="0"/>
              <a:cs typeface="News Gothic MT" charset="0"/>
            </a:rPr>
            <a:t>Q3. Enter the number of households in your community:</a:t>
          </a:r>
          <a:r>
            <a:rPr lang="en-US" sz="1100" i="0" u="none">
              <a:solidFill>
                <a:schemeClr val="bg2">
                  <a:lumMod val="25000"/>
                </a:schemeClr>
              </a:solidFill>
              <a:effectLst/>
              <a:latin typeface="News Gothic MT" charset="0"/>
              <a:ea typeface="News Gothic MT" charset="0"/>
              <a:cs typeface="News Gothic MT" charset="0"/>
            </a:rPr>
            <a:t>  </a:t>
          </a:r>
          <a:r>
            <a:rPr lang="en-US" sz="1100" i="0">
              <a:solidFill>
                <a:schemeClr val="bg2">
                  <a:lumMod val="25000"/>
                </a:schemeClr>
              </a:solidFill>
              <a:effectLst/>
              <a:latin typeface="News Gothic MT" charset="0"/>
              <a:ea typeface="News Gothic MT" charset="0"/>
              <a:cs typeface="News Gothic MT" charset="0"/>
            </a:rPr>
            <a:t>Enter the number of single-family households and the number of multi-family units served by your residential solid waste program. The model is designed to estimate the costs and impacts of residential programs only, it is not designed to estimate the impacts of large multi-family or commercial programs which are generally handled as commercial accounts (i.e. dumpster service). </a:t>
          </a:r>
          <a:r>
            <a:rPr lang="en-US" sz="1100" i="0" u="sng">
              <a:solidFill>
                <a:schemeClr val="bg2">
                  <a:lumMod val="25000"/>
                </a:schemeClr>
              </a:solidFill>
              <a:effectLst/>
              <a:latin typeface="News Gothic MT" charset="0"/>
              <a:ea typeface="News Gothic MT" charset="0"/>
              <a:cs typeface="News Gothic MT" charset="0"/>
            </a:rPr>
            <a:t>Be sure to enter the number of </a:t>
          </a:r>
          <a:r>
            <a:rPr lang="en-US" sz="1100" b="1" i="0" u="sng">
              <a:solidFill>
                <a:schemeClr val="bg2">
                  <a:lumMod val="25000"/>
                </a:schemeClr>
              </a:solidFill>
              <a:effectLst/>
              <a:latin typeface="News Gothic MT" charset="0"/>
              <a:ea typeface="News Gothic MT" charset="0"/>
              <a:cs typeface="News Gothic MT" charset="0"/>
            </a:rPr>
            <a:t>households</a:t>
          </a:r>
          <a:r>
            <a:rPr lang="en-US" sz="1100" i="0" u="sng">
              <a:solidFill>
                <a:schemeClr val="bg2">
                  <a:lumMod val="25000"/>
                </a:schemeClr>
              </a:solidFill>
              <a:effectLst/>
              <a:latin typeface="News Gothic MT" charset="0"/>
              <a:ea typeface="News Gothic MT" charset="0"/>
              <a:cs typeface="News Gothic MT" charset="0"/>
            </a:rPr>
            <a:t>, not the total population.</a:t>
          </a:r>
          <a:r>
            <a:rPr lang="en-US" sz="1100" i="0">
              <a:solidFill>
                <a:schemeClr val="bg2">
                  <a:lumMod val="25000"/>
                </a:schemeClr>
              </a:solidFill>
              <a:effectLst/>
              <a:latin typeface="News Gothic MT" charset="0"/>
              <a:ea typeface="News Gothic MT" charset="0"/>
              <a:cs typeface="News Gothic MT" charset="0"/>
            </a:rPr>
            <a:t> </a:t>
          </a:r>
        </a:p>
        <a:p>
          <a:pPr algn="l"/>
          <a:endParaRPr lang="en-US" sz="1100" i="0">
            <a:solidFill>
              <a:schemeClr val="bg2">
                <a:lumMod val="25000"/>
              </a:schemeClr>
            </a:solidFill>
            <a:effectLst/>
            <a:latin typeface="News Gothic MT" charset="0"/>
            <a:ea typeface="News Gothic MT" charset="0"/>
            <a:cs typeface="News Gothic MT" charset="0"/>
          </a:endParaRPr>
        </a:p>
        <a:p>
          <a:pPr algn="l"/>
          <a:r>
            <a:rPr lang="en-US" sz="1100" b="1" i="0">
              <a:solidFill>
                <a:schemeClr val="bg2">
                  <a:lumMod val="25000"/>
                </a:schemeClr>
              </a:solidFill>
              <a:effectLst/>
              <a:latin typeface="News Gothic MT" charset="0"/>
              <a:ea typeface="News Gothic MT" charset="0"/>
              <a:cs typeface="News Gothic MT" charset="0"/>
            </a:rPr>
            <a:t>Q4. Estimate the level of participation in your recycling program:</a:t>
          </a:r>
          <a:r>
            <a:rPr lang="en-US" sz="1100" i="0">
              <a:solidFill>
                <a:schemeClr val="bg2">
                  <a:lumMod val="25000"/>
                </a:schemeClr>
              </a:solidFill>
              <a:effectLst/>
              <a:latin typeface="News Gothic MT" charset="0"/>
              <a:ea typeface="News Gothic MT" charset="0"/>
              <a:cs typeface="News Gothic MT" charset="0"/>
            </a:rPr>
            <a:t> Recycling participation in the model is defined as the percentage of households in your</a:t>
          </a:r>
          <a:r>
            <a:rPr lang="en-US" sz="1100" i="0" baseline="0">
              <a:solidFill>
                <a:schemeClr val="bg2">
                  <a:lumMod val="25000"/>
                </a:schemeClr>
              </a:solidFill>
              <a:effectLst/>
              <a:latin typeface="News Gothic MT" charset="0"/>
              <a:ea typeface="News Gothic MT" charset="0"/>
              <a:cs typeface="News Gothic MT" charset="0"/>
            </a:rPr>
            <a:t> community that set out a recycling container for collection on a typical collection day</a:t>
          </a:r>
          <a:r>
            <a:rPr lang="en-US" sz="1100" i="0">
              <a:solidFill>
                <a:schemeClr val="bg2">
                  <a:lumMod val="25000"/>
                </a:schemeClr>
              </a:solidFill>
              <a:effectLst/>
              <a:latin typeface="News Gothic MT" charset="0"/>
              <a:ea typeface="News Gothic MT" charset="0"/>
              <a:cs typeface="News Gothic MT" charset="0"/>
            </a:rPr>
            <a:t>. This</a:t>
          </a:r>
          <a:r>
            <a:rPr lang="en-US" sz="1100" i="0" baseline="0">
              <a:solidFill>
                <a:schemeClr val="bg2">
                  <a:lumMod val="25000"/>
                </a:schemeClr>
              </a:solidFill>
              <a:effectLst/>
              <a:latin typeface="News Gothic MT" charset="0"/>
              <a:ea typeface="News Gothic MT" charset="0"/>
              <a:cs typeface="News Gothic MT" charset="0"/>
            </a:rPr>
            <a:t> is an estimate. </a:t>
          </a:r>
          <a:r>
            <a:rPr lang="en-US" sz="1100" i="0">
              <a:solidFill>
                <a:schemeClr val="bg2">
                  <a:lumMod val="25000"/>
                </a:schemeClr>
              </a:solidFill>
              <a:effectLst/>
              <a:latin typeface="News Gothic MT" charset="0"/>
              <a:ea typeface="News Gothic MT" charset="0"/>
              <a:cs typeface="News Gothic MT" charset="0"/>
            </a:rPr>
            <a:t>Participation will impact the results and depends on how your local program is set up (i.e. Do residents have to pay extra for recycling or is recycling service included in the trash bill?) as well as the outreach, education, and other programs adopted in your community.</a:t>
          </a:r>
          <a:r>
            <a:rPr lang="en-US" sz="1100" i="0" baseline="0">
              <a:solidFill>
                <a:schemeClr val="bg2">
                  <a:lumMod val="25000"/>
                </a:schemeClr>
              </a:solidFill>
              <a:effectLst/>
              <a:latin typeface="News Gothic MT" charset="0"/>
              <a:ea typeface="News Gothic MT" charset="0"/>
              <a:cs typeface="News Gothic MT" charset="0"/>
            </a:rPr>
            <a:t> </a:t>
          </a:r>
          <a:r>
            <a:rPr lang="en-US" sz="1100" i="0" u="sng" baseline="0">
              <a:solidFill>
                <a:schemeClr val="bg2">
                  <a:lumMod val="25000"/>
                </a:schemeClr>
              </a:solidFill>
              <a:effectLst/>
              <a:latin typeface="News Gothic MT" charset="0"/>
              <a:ea typeface="News Gothic MT" charset="0"/>
              <a:cs typeface="News Gothic MT" charset="0"/>
            </a:rPr>
            <a:t>T</a:t>
          </a:r>
          <a:r>
            <a:rPr lang="en-US" sz="1100" i="0" u="sng">
              <a:solidFill>
                <a:schemeClr val="bg2">
                  <a:lumMod val="25000"/>
                </a:schemeClr>
              </a:solidFill>
              <a:effectLst/>
              <a:latin typeface="News Gothic MT" charset="0"/>
              <a:ea typeface="News Gothic MT" charset="0"/>
              <a:cs typeface="News Gothic MT" charset="0"/>
            </a:rPr>
            <a:t>he default setting is ‘Medium participation’</a:t>
          </a:r>
          <a:r>
            <a:rPr lang="en-US" sz="1100" i="0">
              <a:solidFill>
                <a:schemeClr val="bg2">
                  <a:lumMod val="25000"/>
                </a:schemeClr>
              </a:solidFill>
              <a:effectLst/>
              <a:latin typeface="News Gothic MT" charset="0"/>
              <a:ea typeface="News Gothic MT" charset="0"/>
              <a:cs typeface="News Gothic MT" charset="0"/>
            </a:rPr>
            <a:t>.</a:t>
          </a:r>
        </a:p>
        <a:p>
          <a:pPr algn="l"/>
          <a:endParaRPr lang="en-US" sz="1100" i="0">
            <a:solidFill>
              <a:schemeClr val="bg2">
                <a:lumMod val="25000"/>
              </a:schemeClr>
            </a:solidFill>
            <a:effectLst/>
            <a:latin typeface="News Gothic MT" charset="0"/>
            <a:ea typeface="News Gothic MT" charset="0"/>
            <a:cs typeface="News Gothic MT" charset="0"/>
          </a:endParaRPr>
        </a:p>
        <a:p>
          <a:pPr algn="l"/>
          <a:r>
            <a:rPr lang="en-US" sz="1100" b="1" i="0">
              <a:solidFill>
                <a:schemeClr val="bg2">
                  <a:lumMod val="25000"/>
                </a:schemeClr>
              </a:solidFill>
              <a:effectLst/>
              <a:latin typeface="News Gothic MT" charset="0"/>
              <a:ea typeface="News Gothic MT" charset="0"/>
              <a:cs typeface="News Gothic MT" charset="0"/>
            </a:rPr>
            <a:t>Q5. Select your community type</a:t>
          </a:r>
          <a:r>
            <a:rPr lang="en-US" sz="1100" i="0">
              <a:solidFill>
                <a:schemeClr val="bg2">
                  <a:lumMod val="25000"/>
                </a:schemeClr>
              </a:solidFill>
              <a:effectLst/>
              <a:latin typeface="News Gothic MT" charset="0"/>
              <a:ea typeface="News Gothic MT" charset="0"/>
              <a:cs typeface="News Gothic MT" charset="0"/>
            </a:rPr>
            <a:t> – Choose the community type (Rural to Urban) that best describes your community. The community type impacts the route density and the number of households collected per route. </a:t>
          </a:r>
          <a:r>
            <a:rPr lang="en-US" sz="1100" i="0" u="sng">
              <a:solidFill>
                <a:schemeClr val="bg2">
                  <a:lumMod val="25000"/>
                </a:schemeClr>
              </a:solidFill>
              <a:effectLst/>
              <a:latin typeface="News Gothic MT" charset="0"/>
              <a:ea typeface="News Gothic MT" charset="0"/>
              <a:cs typeface="News Gothic MT" charset="0"/>
            </a:rPr>
            <a:t>The default setting is ‘Suburban’</a:t>
          </a:r>
          <a:r>
            <a:rPr lang="en-US" sz="1100" i="0">
              <a:solidFill>
                <a:schemeClr val="bg2">
                  <a:lumMod val="25000"/>
                </a:schemeClr>
              </a:solidFill>
              <a:effectLst/>
              <a:latin typeface="News Gothic MT" charset="0"/>
              <a:ea typeface="News Gothic MT" charset="0"/>
              <a:cs typeface="News Gothic MT" charset="0"/>
            </a:rPr>
            <a:t>.</a:t>
          </a:r>
        </a:p>
        <a:p>
          <a:pPr algn="l"/>
          <a:endParaRPr lang="en-US" sz="1100" i="0">
            <a:solidFill>
              <a:schemeClr val="bg2">
                <a:lumMod val="25000"/>
              </a:schemeClr>
            </a:solidFill>
            <a:effectLst/>
            <a:latin typeface="News Gothic MT" charset="0"/>
            <a:ea typeface="News Gothic MT" charset="0"/>
            <a:cs typeface="News Gothic MT" charset="0"/>
          </a:endParaRPr>
        </a:p>
        <a:p>
          <a:pPr algn="l"/>
          <a:r>
            <a:rPr lang="en-US" sz="1100" b="1" i="0">
              <a:solidFill>
                <a:schemeClr val="bg2">
                  <a:lumMod val="25000"/>
                </a:schemeClr>
              </a:solidFill>
              <a:effectLst/>
              <a:latin typeface="News Gothic MT" charset="0"/>
              <a:ea typeface="News Gothic MT" charset="0"/>
              <a:cs typeface="News Gothic MT" charset="0"/>
            </a:rPr>
            <a:t>Q6. Will glass be included in single stream recycling?</a:t>
          </a:r>
          <a:r>
            <a:rPr lang="en-US" sz="1100" i="0">
              <a:solidFill>
                <a:schemeClr val="bg2">
                  <a:lumMod val="25000"/>
                </a:schemeClr>
              </a:solidFill>
              <a:effectLst/>
              <a:latin typeface="News Gothic MT" charset="0"/>
              <a:ea typeface="News Gothic MT" charset="0"/>
              <a:cs typeface="News Gothic MT" charset="0"/>
            </a:rPr>
            <a:t> – </a:t>
          </a:r>
          <a:r>
            <a:rPr lang="en-US" sz="1100" i="0" u="sng">
              <a:solidFill>
                <a:schemeClr val="bg2">
                  <a:lumMod val="25000"/>
                </a:schemeClr>
              </a:solidFill>
              <a:effectLst/>
              <a:latin typeface="News Gothic MT" charset="0"/>
              <a:ea typeface="News Gothic MT" charset="0"/>
              <a:cs typeface="News Gothic MT" charset="0"/>
            </a:rPr>
            <a:t>The default is to include glass in the stream</a:t>
          </a:r>
          <a:r>
            <a:rPr lang="en-US" sz="1100" i="0">
              <a:solidFill>
                <a:schemeClr val="bg2">
                  <a:lumMod val="25000"/>
                </a:schemeClr>
              </a:solidFill>
              <a:effectLst/>
              <a:latin typeface="News Gothic MT" charset="0"/>
              <a:ea typeface="News Gothic MT" charset="0"/>
              <a:cs typeface="News Gothic MT" charset="0"/>
            </a:rPr>
            <a:t>.</a:t>
          </a:r>
        </a:p>
        <a:p>
          <a:pPr algn="l"/>
          <a:endParaRPr lang="en-US" sz="1100" i="0">
            <a:solidFill>
              <a:schemeClr val="bg2">
                <a:lumMod val="25000"/>
              </a:schemeClr>
            </a:solidFill>
            <a:effectLst/>
            <a:latin typeface="News Gothic MT" charset="0"/>
            <a:ea typeface="News Gothic MT" charset="0"/>
            <a:cs typeface="News Gothic MT" charset="0"/>
          </a:endParaRPr>
        </a:p>
        <a:p>
          <a:pPr algn="l"/>
          <a:r>
            <a:rPr lang="en-US" sz="1100" b="1" i="0">
              <a:solidFill>
                <a:schemeClr val="bg2">
                  <a:lumMod val="25000"/>
                </a:schemeClr>
              </a:solidFill>
              <a:effectLst/>
              <a:latin typeface="News Gothic MT" charset="0"/>
              <a:ea typeface="News Gothic MT" charset="0"/>
              <a:cs typeface="News Gothic MT" charset="0"/>
            </a:rPr>
            <a:t>Q7. How ‘much’ do you think people will recycle in your community?</a:t>
          </a:r>
          <a:r>
            <a:rPr lang="en-US" sz="1100" i="0">
              <a:solidFill>
                <a:schemeClr val="bg2">
                  <a:lumMod val="25000"/>
                </a:schemeClr>
              </a:solidFill>
              <a:effectLst/>
              <a:latin typeface="News Gothic MT" charset="0"/>
              <a:ea typeface="News Gothic MT" charset="0"/>
              <a:cs typeface="News Gothic MT" charset="0"/>
            </a:rPr>
            <a:t> The amount of material (measured in pounds per week, month or year) recycled per household varies significantly across the U.S. The model allows the user to choose an option based on their community and program design. If your community has adopted more aggressive solid waste programs such as embedded rates for recycling service, a pay-as-you-throw rate structure, disposal bans, or other advanced programs, the amount recycled will be on the upper end of the spectrum.</a:t>
          </a:r>
          <a:r>
            <a:rPr lang="en-US" sz="1100" i="0" baseline="0">
              <a:solidFill>
                <a:schemeClr val="bg2">
                  <a:lumMod val="25000"/>
                </a:schemeClr>
              </a:solidFill>
              <a:effectLst/>
              <a:latin typeface="News Gothic MT" charset="0"/>
              <a:ea typeface="News Gothic MT" charset="0"/>
              <a:cs typeface="News Gothic MT" charset="0"/>
            </a:rPr>
            <a:t> Thus,</a:t>
          </a:r>
          <a:r>
            <a:rPr lang="en-US" sz="1100" i="0">
              <a:solidFill>
                <a:schemeClr val="bg2">
                  <a:lumMod val="25000"/>
                </a:schemeClr>
              </a:solidFill>
              <a:effectLst/>
              <a:latin typeface="News Gothic MT" charset="0"/>
              <a:ea typeface="News Gothic MT" charset="0"/>
              <a:cs typeface="News Gothic MT" charset="0"/>
            </a:rPr>
            <a:t> you should choose "High."  Choosing</a:t>
          </a:r>
          <a:r>
            <a:rPr lang="en-US" sz="1100" i="0" baseline="0">
              <a:solidFill>
                <a:schemeClr val="bg2">
                  <a:lumMod val="25000"/>
                </a:schemeClr>
              </a:solidFill>
              <a:effectLst/>
              <a:latin typeface="News Gothic MT" charset="0"/>
              <a:ea typeface="News Gothic MT" charset="0"/>
              <a:cs typeface="News Gothic MT" charset="0"/>
            </a:rPr>
            <a:t> "High" means that most residents are filling their containers to between 75% and 100% of capacity. </a:t>
          </a:r>
          <a:r>
            <a:rPr lang="en-US" sz="1100" i="0">
              <a:solidFill>
                <a:schemeClr val="bg2">
                  <a:lumMod val="25000"/>
                </a:schemeClr>
              </a:solidFill>
              <a:effectLst/>
              <a:latin typeface="News Gothic MT" charset="0"/>
              <a:ea typeface="News Gothic MT" charset="0"/>
              <a:cs typeface="News Gothic MT" charset="0"/>
            </a:rPr>
            <a:t>Conversely, if recycling is new to your community, most likely the amount recycled will be relatively low, thus you should choose "Low." </a:t>
          </a:r>
          <a:r>
            <a:rPr lang="en-US" sz="1100" i="0" u="sng">
              <a:solidFill>
                <a:schemeClr val="bg2">
                  <a:lumMod val="25000"/>
                </a:schemeClr>
              </a:solidFill>
              <a:effectLst/>
              <a:latin typeface="News Gothic MT" charset="0"/>
              <a:ea typeface="News Gothic MT" charset="0"/>
              <a:cs typeface="News Gothic MT" charset="0"/>
            </a:rPr>
            <a:t>The default setting is "Medium low."</a:t>
          </a:r>
          <a:r>
            <a:rPr lang="en-US" sz="1100" i="0">
              <a:solidFill>
                <a:schemeClr val="bg2">
                  <a:lumMod val="25000"/>
                </a:schemeClr>
              </a:solidFill>
              <a:effectLst/>
              <a:latin typeface="News Gothic MT" charset="0"/>
              <a:ea typeface="News Gothic MT" charset="0"/>
              <a:cs typeface="News Gothic MT" charset="0"/>
            </a:rPr>
            <a:t>  The default assumes that containers</a:t>
          </a:r>
          <a:r>
            <a:rPr lang="en-US" sz="1100" i="0" baseline="0">
              <a:solidFill>
                <a:schemeClr val="bg2">
                  <a:lumMod val="25000"/>
                </a:schemeClr>
              </a:solidFill>
              <a:effectLst/>
              <a:latin typeface="News Gothic MT" charset="0"/>
              <a:ea typeface="News Gothic MT" charset="0"/>
              <a:cs typeface="News Gothic MT" charset="0"/>
            </a:rPr>
            <a:t> are about 50% full, on average.</a:t>
          </a:r>
          <a:endParaRPr lang="en-US" sz="1100" i="0">
            <a:solidFill>
              <a:schemeClr val="bg2">
                <a:lumMod val="25000"/>
              </a:schemeClr>
            </a:solidFill>
            <a:effectLst/>
            <a:latin typeface="News Gothic MT" charset="0"/>
            <a:ea typeface="News Gothic MT" charset="0"/>
            <a:cs typeface="News Gothic MT" charset="0"/>
          </a:endParaRPr>
        </a:p>
        <a:p>
          <a:pPr algn="l"/>
          <a:endParaRPr lang="en-US" sz="1100" i="0">
            <a:solidFill>
              <a:schemeClr val="bg2">
                <a:lumMod val="25000"/>
              </a:schemeClr>
            </a:solidFill>
            <a:effectLst/>
            <a:latin typeface="News Gothic MT" charset="0"/>
            <a:ea typeface="News Gothic MT" charset="0"/>
            <a:cs typeface="News Gothic MT" charset="0"/>
          </a:endParaRPr>
        </a:p>
        <a:p>
          <a:pPr algn="l"/>
          <a:r>
            <a:rPr lang="en-US" sz="1100" i="0">
              <a:solidFill>
                <a:schemeClr val="bg2">
                  <a:lumMod val="25000"/>
                </a:schemeClr>
              </a:solidFill>
              <a:effectLst/>
              <a:latin typeface="News Gothic MT" charset="0"/>
              <a:ea typeface="News Gothic MT" charset="0"/>
              <a:cs typeface="News Gothic MT" charset="0"/>
            </a:rPr>
            <a:t> </a:t>
          </a:r>
          <a:r>
            <a:rPr lang="en-US" sz="1100" b="1" i="0">
              <a:solidFill>
                <a:schemeClr val="bg2">
                  <a:lumMod val="25000"/>
                </a:schemeClr>
              </a:solidFill>
              <a:effectLst/>
              <a:latin typeface="News Gothic MT" charset="0"/>
              <a:ea typeface="News Gothic MT" charset="0"/>
              <a:cs typeface="News Gothic MT" charset="0"/>
            </a:rPr>
            <a:t>Q8. Do you know your landfill tip fee?</a:t>
          </a:r>
          <a:r>
            <a:rPr lang="en-US" sz="1100" i="0">
              <a:solidFill>
                <a:schemeClr val="bg2">
                  <a:lumMod val="25000"/>
                </a:schemeClr>
              </a:solidFill>
              <a:effectLst/>
              <a:latin typeface="News Gothic MT" charset="0"/>
              <a:ea typeface="News Gothic MT" charset="0"/>
              <a:cs typeface="News Gothic MT" charset="0"/>
            </a:rPr>
            <a:t> If you answer "Yes," you will be prompted to enter your landfill tip fee into the spreadsheet. If you are unaware of the tip fee for your community, the model will use the state average in the calculations. </a:t>
          </a:r>
        </a:p>
        <a:p>
          <a:pPr algn="l"/>
          <a:endParaRPr lang="en-US" sz="1100" i="0">
            <a:solidFill>
              <a:schemeClr val="bg2">
                <a:lumMod val="25000"/>
              </a:schemeClr>
            </a:solidFill>
            <a:effectLst/>
            <a:latin typeface="News Gothic MT" charset="0"/>
            <a:ea typeface="News Gothic MT" charset="0"/>
            <a:cs typeface="News Gothic MT" charset="0"/>
          </a:endParaRPr>
        </a:p>
        <a:p>
          <a:pPr algn="l"/>
          <a:r>
            <a:rPr lang="en-US" sz="1100" b="1" i="0">
              <a:solidFill>
                <a:schemeClr val="bg2">
                  <a:lumMod val="25000"/>
                </a:schemeClr>
              </a:solidFill>
              <a:effectLst/>
              <a:latin typeface="News Gothic MT" charset="0"/>
              <a:ea typeface="News Gothic MT" charset="0"/>
              <a:cs typeface="News Gothic MT" charset="0"/>
            </a:rPr>
            <a:t> Q9. Do you know your net recycling processor gate fee or revenue?</a:t>
          </a:r>
          <a:r>
            <a:rPr lang="en-US" sz="1100" i="0">
              <a:solidFill>
                <a:schemeClr val="bg2">
                  <a:lumMod val="25000"/>
                </a:schemeClr>
              </a:solidFill>
              <a:effectLst/>
              <a:latin typeface="News Gothic MT" charset="0"/>
              <a:ea typeface="News Gothic MT" charset="0"/>
              <a:cs typeface="News Gothic MT" charset="0"/>
            </a:rPr>
            <a:t> If you answer "Yes," you will be prompted to enter your net processor gate fee or revenue into the spreadsheet. Enter the </a:t>
          </a:r>
          <a:r>
            <a:rPr lang="en-US" sz="1100" i="0" baseline="0">
              <a:solidFill>
                <a:schemeClr val="bg2">
                  <a:lumMod val="25000"/>
                </a:schemeClr>
              </a:solidFill>
              <a:effectLst/>
              <a:latin typeface="News Gothic MT" charset="0"/>
              <a:ea typeface="News Gothic MT" charset="0"/>
              <a:cs typeface="News Gothic MT" charset="0"/>
            </a:rPr>
            <a:t>net fee (revenue - processing = net fee). </a:t>
          </a:r>
          <a:r>
            <a:rPr lang="en-US" sz="1100" i="0">
              <a:solidFill>
                <a:schemeClr val="bg2">
                  <a:lumMod val="25000"/>
                </a:schemeClr>
              </a:solidFill>
              <a:effectLst/>
              <a:latin typeface="News Gothic MT" charset="0"/>
              <a:ea typeface="News Gothic MT" charset="0"/>
              <a:cs typeface="News Gothic MT" charset="0"/>
            </a:rPr>
            <a:t>If you are unaware of the revenue or fee for your community, the model will use the state average in the calculations. </a:t>
          </a:r>
          <a:r>
            <a:rPr lang="en-US" sz="1100" i="0" u="sng">
              <a:solidFill>
                <a:schemeClr val="bg2">
                  <a:lumMod val="25000"/>
                </a:schemeClr>
              </a:solidFill>
              <a:effectLst/>
              <a:latin typeface="News Gothic MT" charset="0"/>
              <a:ea typeface="News Gothic MT" charset="0"/>
              <a:cs typeface="News Gothic MT" charset="0"/>
            </a:rPr>
            <a:t>Important: If you pay a fee per ton be sure to enter a minus symbol in front of the number you enter.</a:t>
          </a:r>
        </a:p>
        <a:p>
          <a:pPr algn="l"/>
          <a:endParaRPr lang="en-US" sz="1100" i="0" u="sng">
            <a:solidFill>
              <a:schemeClr val="bg2">
                <a:lumMod val="25000"/>
              </a:schemeClr>
            </a:solidFill>
            <a:effectLst/>
            <a:latin typeface="News Gothic MT" charset="0"/>
            <a:ea typeface="News Gothic MT" charset="0"/>
            <a:cs typeface="News Gothic MT" charset="0"/>
          </a:endParaRPr>
        </a:p>
        <a:p>
          <a:pPr algn="l"/>
          <a:r>
            <a:rPr lang="en-US" sz="1100" b="1" i="0" u="none">
              <a:solidFill>
                <a:schemeClr val="bg2">
                  <a:lumMod val="25000"/>
                </a:schemeClr>
              </a:solidFill>
              <a:effectLst/>
              <a:latin typeface="News Gothic MT" charset="0"/>
              <a:ea typeface="News Gothic MT" charset="0"/>
              <a:cs typeface="News Gothic MT" charset="0"/>
            </a:rPr>
            <a:t>Q10.</a:t>
          </a:r>
          <a:r>
            <a:rPr lang="en-US" sz="1100" b="1" i="0" u="none" baseline="0">
              <a:solidFill>
                <a:schemeClr val="bg2">
                  <a:lumMod val="25000"/>
                </a:schemeClr>
              </a:solidFill>
              <a:effectLst/>
              <a:latin typeface="News Gothic MT" charset="0"/>
              <a:ea typeface="News Gothic MT" charset="0"/>
              <a:cs typeface="News Gothic MT" charset="0"/>
            </a:rPr>
            <a:t> How far is it from your municipality to the Transfer Station, MRF, or other end destination you use, or plan to use, to process recyclables? </a:t>
          </a:r>
          <a:r>
            <a:rPr lang="en-US" sz="1100" b="0" i="0" u="none" baseline="0">
              <a:solidFill>
                <a:schemeClr val="bg2">
                  <a:lumMod val="25000"/>
                </a:schemeClr>
              </a:solidFill>
              <a:effectLst/>
              <a:latin typeface="News Gothic MT" charset="0"/>
              <a:ea typeface="News Gothic MT" charset="0"/>
              <a:cs typeface="News Gothic MT" charset="0"/>
            </a:rPr>
            <a:t>The average distance from your community to the end processor for your recyclables, whether it is a transfer station or a full scale MRF, impacts the overall costs of your program. Please enter your estimate of the one way distance, in miles, to the facility you currently use or plan to use to process your materials. </a:t>
          </a:r>
          <a:r>
            <a:rPr lang="en-US" sz="1100" b="0" i="0" u="sng" baseline="0">
              <a:solidFill>
                <a:schemeClr val="bg2">
                  <a:lumMod val="25000"/>
                </a:schemeClr>
              </a:solidFill>
              <a:effectLst/>
              <a:latin typeface="News Gothic MT" charset="0"/>
              <a:ea typeface="News Gothic MT" charset="0"/>
              <a:cs typeface="News Gothic MT" charset="0"/>
            </a:rPr>
            <a:t>The default setting is "15 miles or less (one way).</a:t>
          </a:r>
          <a:r>
            <a:rPr lang="en-US" sz="1100" b="1" i="0" u="sng" baseline="0">
              <a:solidFill>
                <a:schemeClr val="bg2">
                  <a:lumMod val="25000"/>
                </a:schemeClr>
              </a:solidFill>
              <a:effectLst/>
              <a:latin typeface="News Gothic MT" charset="0"/>
              <a:ea typeface="News Gothic MT" charset="0"/>
              <a:cs typeface="News Gothic MT" charset="0"/>
            </a:rPr>
            <a:t> </a:t>
          </a:r>
        </a:p>
        <a:p>
          <a:pPr algn="l"/>
          <a:endParaRPr lang="en-US" sz="1100" i="0" u="sng" baseline="0">
            <a:solidFill>
              <a:schemeClr val="bg2">
                <a:lumMod val="25000"/>
              </a:schemeClr>
            </a:solidFill>
            <a:effectLst/>
            <a:latin typeface="News Gothic MT" charset="0"/>
            <a:ea typeface="News Gothic MT" charset="0"/>
            <a:cs typeface="News Gothic MT" charset="0"/>
          </a:endParaRPr>
        </a:p>
        <a:p>
          <a:pPr algn="l"/>
          <a:r>
            <a:rPr lang="en-US" sz="1100" b="1" i="0" u="none" baseline="0">
              <a:solidFill>
                <a:schemeClr val="bg2">
                  <a:lumMod val="25000"/>
                </a:schemeClr>
              </a:solidFill>
              <a:effectLst/>
              <a:latin typeface="News Gothic MT" charset="0"/>
              <a:ea typeface="News Gothic MT" charset="0"/>
              <a:cs typeface="News Gothic MT" charset="0"/>
            </a:rPr>
            <a:t>Q11. Do you know the distance to the Materials Recovery Facility you use or would use to process recyclable materials if you built a Transfer Station? </a:t>
          </a:r>
          <a:r>
            <a:rPr lang="en-US" sz="1100" b="0" i="0" u="none" baseline="0">
              <a:solidFill>
                <a:schemeClr val="bg2">
                  <a:lumMod val="25000"/>
                </a:schemeClr>
              </a:solidFill>
              <a:effectLst/>
              <a:latin typeface="News Gothic MT" charset="0"/>
              <a:ea typeface="News Gothic MT" charset="0"/>
              <a:cs typeface="News Gothic MT" charset="0"/>
            </a:rPr>
            <a:t>If your community is considering building a transfer station to consolidate recyclables prior to sending them to a MRF for processing, approximately how far if the MRF from the transfer station? If you do not know the answer, or are not sure if you plan to build a transfer station, use the default setting. </a:t>
          </a:r>
          <a:r>
            <a:rPr lang="en-US" sz="1100" b="0" i="0" u="sng" baseline="0">
              <a:solidFill>
                <a:schemeClr val="bg2">
                  <a:lumMod val="25000"/>
                </a:schemeClr>
              </a:solidFill>
              <a:effectLst/>
              <a:latin typeface="News Gothic MT" charset="0"/>
              <a:ea typeface="News Gothic MT" charset="0"/>
              <a:cs typeface="News Gothic MT" charset="0"/>
            </a:rPr>
            <a:t>The default setting is "No" </a:t>
          </a:r>
          <a:r>
            <a:rPr lang="en-US" sz="1100" b="0" i="0" u="none" baseline="0">
              <a:solidFill>
                <a:schemeClr val="bg2">
                  <a:lumMod val="25000"/>
                </a:schemeClr>
              </a:solidFill>
              <a:effectLst/>
              <a:latin typeface="News Gothic MT" charset="0"/>
              <a:ea typeface="News Gothic MT" charset="0"/>
              <a:cs typeface="News Gothic MT" charset="0"/>
            </a:rPr>
            <a:t>in which case the model will assume an average distance of 75 miles.</a:t>
          </a:r>
          <a:r>
            <a:rPr lang="en-US" sz="1100" b="1" i="0" u="none" baseline="0">
              <a:solidFill>
                <a:schemeClr val="bg2">
                  <a:lumMod val="25000"/>
                </a:schemeClr>
              </a:solidFill>
              <a:effectLst/>
              <a:latin typeface="News Gothic MT" charset="0"/>
              <a:ea typeface="News Gothic MT" charset="0"/>
              <a:cs typeface="News Gothic MT" charset="0"/>
            </a:rPr>
            <a:t> </a:t>
          </a:r>
        </a:p>
        <a:p>
          <a:pPr algn="l"/>
          <a:endParaRPr lang="en-US" sz="1100" i="0" u="none">
            <a:solidFill>
              <a:schemeClr val="bg2">
                <a:lumMod val="25000"/>
              </a:schemeClr>
            </a:solidFill>
            <a:effectLst/>
            <a:latin typeface="News Gothic MT" charset="0"/>
            <a:ea typeface="News Gothic MT" charset="0"/>
            <a:cs typeface="News Gothic MT"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Q12. Estimate the level of participation in your organics program:</a:t>
          </a:r>
          <a:r>
            <a:rPr kumimoji="0" lang="en-US" sz="1100" b="0"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 Organics recycling participation in the model is defined as the percentage of households in your community that set out an organics container for collection on a typical collection day. This is an estimate. Participation will impact the results and depends on how your local program is set up (i.e. Do residents have to pay extra for organics recycling or is organics recycling service included in the trash bill?) as well as the outreach, education, and other programs adopted in your community. </a:t>
          </a:r>
          <a:r>
            <a:rPr kumimoji="0" lang="en-US" sz="1100" b="0" i="0" u="sng"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The default setting is ‘Medium participation’</a:t>
          </a:r>
          <a:r>
            <a:rPr kumimoji="0" lang="en-US" sz="1100" b="0"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a:t>
          </a:r>
          <a:endParaRPr kumimoji="0" lang="en-US" sz="1100" b="1"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endParaRPr>
        </a:p>
        <a:p>
          <a:pPr algn="l"/>
          <a:endParaRPr lang="en-US" sz="1100" i="0" u="none">
            <a:solidFill>
              <a:schemeClr val="bg2">
                <a:lumMod val="25000"/>
              </a:schemeClr>
            </a:solidFill>
            <a:effectLst/>
            <a:latin typeface="News Gothic MT" charset="0"/>
            <a:ea typeface="News Gothic MT" charset="0"/>
            <a:cs typeface="News Gothic MT"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Q13. How ‘much’ do you think people will recycle organics in your community?</a:t>
          </a:r>
          <a:r>
            <a:rPr kumimoji="0" lang="en-US" sz="1100" b="0"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 The amount of organics (measured in pounds per week, month or year) recycled per household varies significantly across the U.S. The model allows the user to choose an option based on their community and program design. If your community has adopted more aggressive solid waste programs such as embedded rates for an organics recycling service, a pay-as-you-throw rate structure, disposal bans, or other advanced programs, the amount recycled will be on the upper end of the spectrum. Thus, you should choose "High."  Choosing "High" means that most residents are capturing a high percentage of their generated yard waste and food waste. Conversely, if recycling is new to your community, most likely the amount recycled will be relatively low, thus you should choose "Low." </a:t>
          </a:r>
          <a:r>
            <a:rPr kumimoji="0" lang="en-US" sz="1100" b="0" i="0" u="sng"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The default setting is "Medium low."</a:t>
          </a:r>
          <a:r>
            <a:rPr kumimoji="0" lang="en-US" sz="1100" b="0"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 </a:t>
          </a:r>
          <a:endParaRPr kumimoji="0" lang="en-US" sz="1100" b="1"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Q14. Do you know your net compost processor gate fee or revenue?</a:t>
          </a:r>
          <a:r>
            <a:rPr kumimoji="0" lang="en-US" sz="1100" b="0"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 If you answer "Yes," you will be prompted to enter your processor gate fee or revenue into the spreadsheet. Enter the net fee (revenue - processing = net fee). If you are unaware of the revenue or fee for your community, the model will use the state average in the calculations. </a:t>
          </a:r>
          <a:r>
            <a:rPr kumimoji="0" lang="en-US" sz="1100" b="0" i="0" u="sng"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Important: If you pay a fee per ton be sure to enter a minus symbol in front of the number you enter.</a:t>
          </a:r>
          <a:endParaRPr kumimoji="0" lang="en-US" sz="1100" b="1"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Q15. How far is it from your municipality to the compost site you use or plan to use to process organics? </a:t>
          </a:r>
          <a:r>
            <a:rPr kumimoji="0" lang="en-US" sz="1100" b="0"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The average distance from your community to the compost impacts the overall costs of your program. Please enter your estimate of the one way distance, in miles, to the facility you currently use or plan to use to process your organics. </a:t>
          </a:r>
          <a:r>
            <a:rPr kumimoji="0" lang="en-US" sz="1100" b="0" i="0" u="sng"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The default setting is "15 miles or less (one way).</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i="1"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1" u="none" strike="noStrike" kern="0" cap="none" spc="0" normalizeH="0" baseline="0" noProof="0">
              <a:ln>
                <a:noFill/>
              </a:ln>
              <a:solidFill>
                <a:srgbClr val="9A9C79">
                  <a:lumMod val="50000"/>
                </a:srgbClr>
              </a:solidFill>
              <a:effectLst/>
              <a:uLnTx/>
              <a:uFillTx/>
              <a:latin typeface="Calibri Light" panose="020F0302020204030204"/>
              <a:ea typeface="+mn-ea"/>
              <a:cs typeface="+mn-cs"/>
            </a:rPr>
            <a:t>Managing change in a resource-constrained world  </a:t>
          </a:r>
          <a:r>
            <a:rPr kumimoji="0" lang="en-US" sz="1200" b="0" i="0" u="none" strike="noStrike" kern="0" cap="none" spc="0" normalizeH="0" baseline="0" noProof="0">
              <a:ln>
                <a:noFill/>
              </a:ln>
              <a:solidFill>
                <a:srgbClr val="B9DC48">
                  <a:lumMod val="75000"/>
                </a:srgbClr>
              </a:solidFill>
              <a:effectLst/>
              <a:uLnTx/>
              <a:uFillTx/>
              <a:latin typeface="Calibri Light" panose="020F0302020204030204"/>
              <a:ea typeface="+mn-ea"/>
              <a:cs typeface="+mn-cs"/>
            </a:rPr>
            <a:t>www.recycle.com</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i="1"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i="1"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i="1"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i="1"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i="1"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i="1"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i="1"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i="1" u="sng">
            <a:solidFill>
              <a:schemeClr val="dk1"/>
            </a:solidFill>
            <a:effectLst/>
            <a:latin typeface="+mn-lt"/>
            <a:ea typeface="+mn-ea"/>
            <a:cs typeface="+mn-cs"/>
          </a:endParaRPr>
        </a:p>
      </xdr:txBody>
    </xdr:sp>
    <xdr:clientData/>
  </xdr:twoCellAnchor>
  <xdr:twoCellAnchor>
    <xdr:from>
      <xdr:col>1</xdr:col>
      <xdr:colOff>1</xdr:colOff>
      <xdr:row>3</xdr:row>
      <xdr:rowOff>63499</xdr:rowOff>
    </xdr:from>
    <xdr:to>
      <xdr:col>1</xdr:col>
      <xdr:colOff>301625</xdr:colOff>
      <xdr:row>102</xdr:row>
      <xdr:rowOff>65171</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601580" y="1271670"/>
          <a:ext cx="301624" cy="1886117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3175</xdr:colOff>
      <xdr:row>1</xdr:row>
      <xdr:rowOff>76200</xdr:rowOff>
    </xdr:from>
    <xdr:to>
      <xdr:col>16</xdr:col>
      <xdr:colOff>15875</xdr:colOff>
      <xdr:row>2</xdr:row>
      <xdr:rowOff>111124</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603250" y="533400"/>
          <a:ext cx="9013825" cy="806449"/>
        </a:xfrm>
        <a:prstGeom prst="rect">
          <a:avLst/>
        </a:prstGeom>
        <a:solidFill>
          <a:schemeClr val="accent1"/>
        </a:solidFill>
        <a:ln w="9525">
          <a:noFill/>
          <a:miter lim="800000"/>
          <a:headEnd/>
          <a:tailEnd/>
        </a:ln>
      </xdr:spPr>
      <xdr:txBody>
        <a:bodyPr vertOverflow="clip" wrap="square" lIns="182880" tIns="18288" rIns="0" bIns="0" anchor="ctr" anchorCtr="0" upright="1"/>
        <a:lstStyle/>
        <a:p>
          <a:pPr algn="ctr" rtl="0">
            <a:defRPr sz="1000"/>
          </a:pPr>
          <a:r>
            <a:rPr lang="en-US" sz="4000" b="1" i="0" u="none" strike="noStrike" baseline="0">
              <a:solidFill>
                <a:schemeClr val="bg1"/>
              </a:solidFill>
              <a:latin typeface="Gill Sans MT Condensed" charset="0"/>
              <a:ea typeface="Gill Sans MT Condensed" charset="0"/>
              <a:cs typeface="Gill Sans MT Condensed" charset="0"/>
            </a:rPr>
            <a:t>INSTRUCTIONS FOR GREAT LAKES REGION ISWM MODEL</a:t>
          </a:r>
        </a:p>
      </xdr:txBody>
    </xdr:sp>
    <xdr:clientData/>
  </xdr:twoCellAnchor>
  <xdr:twoCellAnchor editAs="oneCell">
    <xdr:from>
      <xdr:col>13</xdr:col>
      <xdr:colOff>600075</xdr:colOff>
      <xdr:row>100</xdr:row>
      <xdr:rowOff>152401</xdr:rowOff>
    </xdr:from>
    <xdr:to>
      <xdr:col>15</xdr:col>
      <xdr:colOff>448582</xdr:colOff>
      <xdr:row>103</xdr:row>
      <xdr:rowOff>146051</xdr:rowOff>
    </xdr:to>
    <xdr:pic>
      <xdr:nvPicPr>
        <xdr:cNvPr id="6" name="Picture 5" descr="RRSlogosmall">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5908" y="18800234"/>
          <a:ext cx="1097341" cy="533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11113</xdr:colOff>
      <xdr:row>26</xdr:row>
      <xdr:rowOff>104457</xdr:rowOff>
    </xdr:from>
    <xdr:to>
      <xdr:col>8</xdr:col>
      <xdr:colOff>933451</xdr:colOff>
      <xdr:row>125</xdr:row>
      <xdr:rowOff>63500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39713" y="7267257"/>
          <a:ext cx="9640888" cy="1756124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rIns="182880" bIns="91440" rtlCol="0" anchor="t"/>
        <a:lstStyle/>
        <a:p>
          <a:r>
            <a:rPr lang="en-US" sz="1100">
              <a:solidFill>
                <a:schemeClr val="bg2">
                  <a:lumMod val="25000"/>
                </a:schemeClr>
              </a:solidFill>
              <a:effectLst/>
              <a:latin typeface="News Gothic MT" charset="0"/>
              <a:ea typeface="News Gothic MT" charset="0"/>
              <a:cs typeface="News Gothic MT" charset="0"/>
            </a:rPr>
            <a:t>The Collection Model results allow the user to compare the impacts and costs of seven different recycling program options and</a:t>
          </a:r>
          <a:r>
            <a:rPr lang="en-US" sz="1100" baseline="0">
              <a:solidFill>
                <a:schemeClr val="bg2">
                  <a:lumMod val="25000"/>
                </a:schemeClr>
              </a:solidFill>
              <a:effectLst/>
              <a:latin typeface="News Gothic MT" charset="0"/>
              <a:ea typeface="News Gothic MT" charset="0"/>
              <a:cs typeface="News Gothic MT" charset="0"/>
            </a:rPr>
            <a:t> four different organics programs</a:t>
          </a:r>
          <a:r>
            <a:rPr lang="en-US" sz="1100">
              <a:solidFill>
                <a:schemeClr val="bg2">
                  <a:lumMod val="25000"/>
                </a:schemeClr>
              </a:solidFill>
              <a:effectLst/>
              <a:latin typeface="News Gothic MT" charset="0"/>
              <a:ea typeface="News Gothic MT" charset="0"/>
              <a:cs typeface="News Gothic MT" charset="0"/>
            </a:rPr>
            <a:t>. By reading across the options the</a:t>
          </a:r>
          <a:r>
            <a:rPr lang="en-US" sz="1100" baseline="0">
              <a:solidFill>
                <a:schemeClr val="bg2">
                  <a:lumMod val="25000"/>
                </a:schemeClr>
              </a:solidFill>
              <a:effectLst/>
              <a:latin typeface="News Gothic MT" charset="0"/>
              <a:ea typeface="News Gothic MT" charset="0"/>
              <a:cs typeface="News Gothic MT" charset="0"/>
            </a:rPr>
            <a:t> user</a:t>
          </a:r>
          <a:r>
            <a:rPr lang="en-US" sz="1100">
              <a:solidFill>
                <a:schemeClr val="bg2">
                  <a:lumMod val="25000"/>
                </a:schemeClr>
              </a:solidFill>
              <a:effectLst/>
              <a:latin typeface="News Gothic MT" charset="0"/>
              <a:ea typeface="News Gothic MT" charset="0"/>
              <a:cs typeface="News Gothic MT" charset="0"/>
            </a:rPr>
            <a:t> can compare the differences in amount recycled and cost of each option. The following notes help define these outputs.</a:t>
          </a:r>
        </a:p>
        <a:p>
          <a:endParaRPr lang="en-US" sz="1100">
            <a:solidFill>
              <a:schemeClr val="dk1"/>
            </a:solidFill>
            <a:effectLst/>
            <a:latin typeface="News Gothic MT" charset="0"/>
            <a:ea typeface="News Gothic MT" charset="0"/>
            <a:cs typeface="News Gothic MT" charset="0"/>
          </a:endParaRPr>
        </a:p>
        <a:p>
          <a:r>
            <a:rPr lang="en-US" sz="2400" b="1">
              <a:solidFill>
                <a:schemeClr val="accent1"/>
              </a:solidFill>
              <a:effectLst/>
              <a:latin typeface="Gill Sans MT Condensed" charset="0"/>
              <a:ea typeface="Gill Sans MT Condensed" charset="0"/>
              <a:cs typeface="Gill Sans MT Condensed" charset="0"/>
            </a:rPr>
            <a:t>OUTPUT</a:t>
          </a:r>
          <a:r>
            <a:rPr lang="en-US" sz="2400" b="1" baseline="0">
              <a:solidFill>
                <a:schemeClr val="accent1"/>
              </a:solidFill>
              <a:effectLst/>
              <a:latin typeface="Gill Sans MT Condensed" charset="0"/>
              <a:ea typeface="Gill Sans MT Condensed" charset="0"/>
              <a:cs typeface="Gill Sans MT Condensed" charset="0"/>
            </a:rPr>
            <a:t> </a:t>
          </a:r>
          <a:r>
            <a:rPr lang="en-US" sz="2400" b="1" baseline="0">
              <a:solidFill>
                <a:srgbClr val="009394"/>
              </a:solidFill>
              <a:effectLst/>
              <a:latin typeface="Gill Sans MT Condensed" charset="0"/>
              <a:ea typeface="Gill Sans MT Condensed" charset="0"/>
              <a:cs typeface="Gill Sans MT Condensed" charset="0"/>
            </a:rPr>
            <a:t>DEFINITIONS</a:t>
          </a:r>
          <a:endParaRPr lang="en-US" sz="2400" b="1">
            <a:solidFill>
              <a:srgbClr val="009394"/>
            </a:solidFill>
            <a:effectLst/>
            <a:latin typeface="Gill Sans MT Condensed" charset="0"/>
            <a:ea typeface="Gill Sans MT Condensed" charset="0"/>
            <a:cs typeface="Gill Sans MT Condensed" charset="0"/>
          </a:endParaRPr>
        </a:p>
        <a:p>
          <a:pPr lvl="0"/>
          <a:r>
            <a:rPr lang="en-US" sz="1100" b="1">
              <a:solidFill>
                <a:schemeClr val="bg2">
                  <a:lumMod val="25000"/>
                </a:schemeClr>
              </a:solidFill>
              <a:effectLst/>
              <a:latin typeface="News Gothic MT" charset="0"/>
              <a:ea typeface="News Gothic MT" charset="0"/>
              <a:cs typeface="News Gothic MT" charset="0"/>
            </a:rPr>
            <a:t>1. Tons of Recycling per Year:</a:t>
          </a:r>
          <a:r>
            <a:rPr lang="en-US" sz="1100">
              <a:solidFill>
                <a:schemeClr val="bg2">
                  <a:lumMod val="25000"/>
                </a:schemeClr>
              </a:solidFill>
              <a:effectLst/>
              <a:latin typeface="News Gothic MT" charset="0"/>
              <a:ea typeface="News Gothic MT" charset="0"/>
              <a:cs typeface="News Gothic MT" charset="0"/>
            </a:rPr>
            <a:t> The total number of tons recycled in the community per year. This does not include</a:t>
          </a:r>
          <a:r>
            <a:rPr lang="en-US" sz="1100" baseline="0">
              <a:solidFill>
                <a:schemeClr val="bg2">
                  <a:lumMod val="25000"/>
                </a:schemeClr>
              </a:solidFill>
              <a:effectLst/>
              <a:latin typeface="News Gothic MT" charset="0"/>
              <a:ea typeface="News Gothic MT" charset="0"/>
              <a:cs typeface="News Gothic MT" charset="0"/>
            </a:rPr>
            <a:t> large multi-family, </a:t>
          </a:r>
          <a:r>
            <a:rPr lang="en-US" sz="1100">
              <a:solidFill>
                <a:schemeClr val="bg2">
                  <a:lumMod val="25000"/>
                </a:schemeClr>
              </a:solidFill>
              <a:effectLst/>
              <a:latin typeface="News Gothic MT" charset="0"/>
              <a:ea typeface="News Gothic MT" charset="0"/>
              <a:cs typeface="News Gothic MT" charset="0"/>
            </a:rPr>
            <a:t>commercial or industrial sectors. The tons</a:t>
          </a:r>
          <a:r>
            <a:rPr lang="en-US" sz="1100" baseline="0">
              <a:solidFill>
                <a:schemeClr val="bg2">
                  <a:lumMod val="25000"/>
                </a:schemeClr>
              </a:solidFill>
              <a:effectLst/>
              <a:latin typeface="News Gothic MT" charset="0"/>
              <a:ea typeface="News Gothic MT" charset="0"/>
              <a:cs typeface="News Gothic MT" charset="0"/>
            </a:rPr>
            <a:t> of recycling does not account for contamination. Contamination in the stream is accounted for in the Hub and Spoke outputs.</a:t>
          </a:r>
          <a:endParaRPr lang="en-US" sz="1100">
            <a:solidFill>
              <a:schemeClr val="bg2">
                <a:lumMod val="25000"/>
              </a:schemeClr>
            </a:solidFill>
            <a:effectLst/>
            <a:latin typeface="News Gothic MT" charset="0"/>
            <a:ea typeface="News Gothic MT" charset="0"/>
            <a:cs typeface="News Gothic MT" charset="0"/>
          </a:endParaRPr>
        </a:p>
        <a:p>
          <a:pPr lvl="0"/>
          <a:endParaRPr lang="en-US" sz="1100" b="1">
            <a:solidFill>
              <a:schemeClr val="bg2">
                <a:lumMod val="25000"/>
              </a:schemeClr>
            </a:solidFill>
            <a:effectLst/>
            <a:latin typeface="News Gothic MT" charset="0"/>
            <a:ea typeface="News Gothic MT" charset="0"/>
            <a:cs typeface="News Gothic MT" charset="0"/>
          </a:endParaRPr>
        </a:p>
        <a:p>
          <a:pPr lvl="0"/>
          <a:r>
            <a:rPr lang="en-US" sz="1100" b="1">
              <a:solidFill>
                <a:schemeClr val="bg2">
                  <a:lumMod val="25000"/>
                </a:schemeClr>
              </a:solidFill>
              <a:effectLst/>
              <a:latin typeface="News Gothic MT" charset="0"/>
              <a:ea typeface="News Gothic MT" charset="0"/>
              <a:cs typeface="News Gothic MT" charset="0"/>
            </a:rPr>
            <a:t>2. Pounds of Recycling per Household per Year: </a:t>
          </a:r>
          <a:r>
            <a:rPr lang="en-US" sz="1100">
              <a:solidFill>
                <a:schemeClr val="bg2">
                  <a:lumMod val="25000"/>
                </a:schemeClr>
              </a:solidFill>
              <a:effectLst/>
              <a:latin typeface="News Gothic MT" charset="0"/>
              <a:ea typeface="News Gothic MT" charset="0"/>
              <a:cs typeface="News Gothic MT" charset="0"/>
            </a:rPr>
            <a:t>The total number of pounds recycled in the community per year, divided by the total number of households. </a:t>
          </a:r>
        </a:p>
        <a:p>
          <a:pPr lvl="0"/>
          <a:endParaRPr lang="en-US" sz="1100" b="1">
            <a:solidFill>
              <a:schemeClr val="bg2">
                <a:lumMod val="25000"/>
              </a:schemeClr>
            </a:solidFill>
            <a:effectLst/>
            <a:latin typeface="News Gothic MT" charset="0"/>
            <a:ea typeface="News Gothic MT" charset="0"/>
            <a:cs typeface="News Gothic MT" charset="0"/>
          </a:endParaRPr>
        </a:p>
        <a:p>
          <a:pPr lvl="0"/>
          <a:r>
            <a:rPr lang="en-US" sz="1100" b="1">
              <a:solidFill>
                <a:schemeClr val="bg2">
                  <a:lumMod val="25000"/>
                </a:schemeClr>
              </a:solidFill>
              <a:effectLst/>
              <a:latin typeface="News Gothic MT" charset="0"/>
              <a:ea typeface="News Gothic MT" charset="0"/>
              <a:cs typeface="News Gothic MT" charset="0"/>
            </a:rPr>
            <a:t>3. Annual Net Cost (Total):</a:t>
          </a:r>
          <a:r>
            <a:rPr lang="en-US" sz="1100">
              <a:solidFill>
                <a:schemeClr val="bg2">
                  <a:lumMod val="25000"/>
                </a:schemeClr>
              </a:solidFill>
              <a:effectLst/>
              <a:latin typeface="News Gothic MT" charset="0"/>
              <a:ea typeface="News Gothic MT" charset="0"/>
              <a:cs typeface="News Gothic MT" charset="0"/>
            </a:rPr>
            <a:t> The total annual cost to run the program. This includes the cost of container purchase, assembly, delivery, inventory, change outs, maintenance, and replacement</a:t>
          </a:r>
          <a:r>
            <a:rPr lang="en-US" sz="1100" baseline="0">
              <a:solidFill>
                <a:schemeClr val="bg2">
                  <a:lumMod val="25000"/>
                </a:schemeClr>
              </a:solidFill>
              <a:effectLst/>
              <a:latin typeface="News Gothic MT" charset="0"/>
              <a:ea typeface="News Gothic MT" charset="0"/>
              <a:cs typeface="News Gothic MT" charset="0"/>
            </a:rPr>
            <a:t> for</a:t>
          </a:r>
          <a:r>
            <a:rPr lang="en-US" sz="1100">
              <a:solidFill>
                <a:schemeClr val="bg2">
                  <a:lumMod val="25000"/>
                </a:schemeClr>
              </a:solidFill>
              <a:effectLst/>
              <a:latin typeface="News Gothic MT" charset="0"/>
              <a:ea typeface="News Gothic MT" charset="0"/>
              <a:cs typeface="News Gothic MT" charset="0"/>
            </a:rPr>
            <a:t> carts or bins, the cost of vehicle purchase, operations, insurance and fees, fuel, maintenance, and mileage (collection, support, and back-up vehicles), the cost of collection staff, the cost of a</a:t>
          </a:r>
          <a:r>
            <a:rPr lang="en-US" sz="1100" baseline="0">
              <a:solidFill>
                <a:schemeClr val="bg2">
                  <a:lumMod val="25000"/>
                </a:schemeClr>
              </a:solidFill>
              <a:effectLst/>
              <a:latin typeface="News Gothic MT" charset="0"/>
              <a:ea typeface="News Gothic MT" charset="0"/>
              <a:cs typeface="News Gothic MT" charset="0"/>
            </a:rPr>
            <a:t> basic</a:t>
          </a:r>
          <a:r>
            <a:rPr lang="en-US" sz="1100">
              <a:solidFill>
                <a:schemeClr val="bg2">
                  <a:lumMod val="25000"/>
                </a:schemeClr>
              </a:solidFill>
              <a:effectLst/>
              <a:latin typeface="News Gothic MT" charset="0"/>
              <a:ea typeface="News Gothic MT" charset="0"/>
              <a:cs typeface="News Gothic MT" charset="0"/>
            </a:rPr>
            <a:t> level of outreach, a contingency amount for capital and operations expenses, and the cost of servicing loans (all loans are assumed to use a seven-year payback period at 3.00% interest). It also includes the cost savings at the landfill achieved from</a:t>
          </a:r>
          <a:r>
            <a:rPr lang="en-US" sz="1100" i="1">
              <a:solidFill>
                <a:schemeClr val="bg2">
                  <a:lumMod val="25000"/>
                </a:schemeClr>
              </a:solidFill>
              <a:effectLst/>
              <a:latin typeface="News Gothic MT" charset="0"/>
              <a:ea typeface="News Gothic MT" charset="0"/>
              <a:cs typeface="News Gothic MT" charset="0"/>
            </a:rPr>
            <a:t> not</a:t>
          </a:r>
          <a:r>
            <a:rPr lang="en-US" sz="1100">
              <a:solidFill>
                <a:schemeClr val="bg2">
                  <a:lumMod val="25000"/>
                </a:schemeClr>
              </a:solidFill>
              <a:effectLst/>
              <a:latin typeface="News Gothic MT" charset="0"/>
              <a:ea typeface="News Gothic MT" charset="0"/>
              <a:cs typeface="News Gothic MT" charset="0"/>
            </a:rPr>
            <a:t> landfilling recyclables or</a:t>
          </a:r>
          <a:r>
            <a:rPr lang="en-US" sz="1100" baseline="0">
              <a:solidFill>
                <a:schemeClr val="bg2">
                  <a:lumMod val="25000"/>
                </a:schemeClr>
              </a:solidFill>
              <a:effectLst/>
              <a:latin typeface="News Gothic MT" charset="0"/>
              <a:ea typeface="News Gothic MT" charset="0"/>
              <a:cs typeface="News Gothic MT" charset="0"/>
            </a:rPr>
            <a:t> organics</a:t>
          </a:r>
          <a:r>
            <a:rPr lang="en-US" sz="1100">
              <a:solidFill>
                <a:schemeClr val="bg2">
                  <a:lumMod val="25000"/>
                </a:schemeClr>
              </a:solidFill>
              <a:effectLst/>
              <a:latin typeface="News Gothic MT" charset="0"/>
              <a:ea typeface="News Gothic MT" charset="0"/>
              <a:cs typeface="News Gothic MT" charset="0"/>
            </a:rPr>
            <a:t>. This cost does </a:t>
          </a:r>
          <a:r>
            <a:rPr lang="en-US" sz="1100" i="1">
              <a:solidFill>
                <a:schemeClr val="bg2">
                  <a:lumMod val="25000"/>
                </a:schemeClr>
              </a:solidFill>
              <a:effectLst/>
              <a:latin typeface="News Gothic MT" charset="0"/>
              <a:ea typeface="News Gothic MT" charset="0"/>
              <a:cs typeface="News Gothic MT" charset="0"/>
            </a:rPr>
            <a:t>not </a:t>
          </a:r>
          <a:r>
            <a:rPr lang="en-US" sz="1100">
              <a:solidFill>
                <a:schemeClr val="bg2">
                  <a:lumMod val="25000"/>
                </a:schemeClr>
              </a:solidFill>
              <a:effectLst/>
              <a:latin typeface="News Gothic MT" charset="0"/>
              <a:ea typeface="News Gothic MT" charset="0"/>
              <a:cs typeface="News Gothic MT" charset="0"/>
            </a:rPr>
            <a:t>include administrative or support staff, billing costs, recyclable/organic material processing cost/revenue, or fleet replacement costs.</a:t>
          </a:r>
        </a:p>
        <a:p>
          <a:pPr lvl="0"/>
          <a:endParaRPr lang="en-US" sz="1100" b="1">
            <a:solidFill>
              <a:schemeClr val="bg2">
                <a:lumMod val="25000"/>
              </a:schemeClr>
            </a:solidFill>
            <a:effectLst/>
            <a:latin typeface="News Gothic MT" charset="0"/>
            <a:ea typeface="News Gothic MT" charset="0"/>
            <a:cs typeface="News Gothic MT" charset="0"/>
          </a:endParaRPr>
        </a:p>
        <a:p>
          <a:pPr lvl="0"/>
          <a:r>
            <a:rPr lang="en-US" sz="1100" b="1">
              <a:solidFill>
                <a:schemeClr val="bg2">
                  <a:lumMod val="25000"/>
                </a:schemeClr>
              </a:solidFill>
              <a:effectLst/>
              <a:latin typeface="News Gothic MT" charset="0"/>
              <a:ea typeface="News Gothic MT" charset="0"/>
              <a:cs typeface="News Gothic MT" charset="0"/>
            </a:rPr>
            <a:t>4. Annual Net Cost (Operations &amp; Maintenance only</a:t>
          </a:r>
          <a:r>
            <a:rPr lang="en-US" sz="1100">
              <a:solidFill>
                <a:schemeClr val="bg2">
                  <a:lumMod val="25000"/>
                </a:schemeClr>
              </a:solidFill>
              <a:effectLst/>
              <a:latin typeface="News Gothic MT" charset="0"/>
              <a:ea typeface="News Gothic MT" charset="0"/>
              <a:cs typeface="News Gothic MT" charset="0"/>
            </a:rPr>
            <a:t>): Removes the purchase and loan servicing cost of all capital equipment (vehicles and containers) from the Annual Net Cost (Total).</a:t>
          </a:r>
        </a:p>
        <a:p>
          <a:pPr lvl="0"/>
          <a:endParaRPr lang="en-US" sz="1100" b="1">
            <a:solidFill>
              <a:schemeClr val="bg2">
                <a:lumMod val="25000"/>
              </a:schemeClr>
            </a:solidFill>
            <a:effectLst/>
            <a:latin typeface="News Gothic MT" charset="0"/>
            <a:ea typeface="News Gothic MT" charset="0"/>
            <a:cs typeface="News Gothic MT" charset="0"/>
          </a:endParaRPr>
        </a:p>
        <a:p>
          <a:pPr lvl="0"/>
          <a:r>
            <a:rPr lang="en-US" sz="1100" b="1">
              <a:solidFill>
                <a:schemeClr val="bg2">
                  <a:lumMod val="25000"/>
                </a:schemeClr>
              </a:solidFill>
              <a:effectLst/>
              <a:latin typeface="News Gothic MT" charset="0"/>
              <a:ea typeface="News Gothic MT" charset="0"/>
              <a:cs typeface="News Gothic MT" charset="0"/>
            </a:rPr>
            <a:t>5. Cost per Household per Year:</a:t>
          </a:r>
          <a:r>
            <a:rPr lang="en-US" sz="1100">
              <a:solidFill>
                <a:schemeClr val="bg2">
                  <a:lumMod val="25000"/>
                </a:schemeClr>
              </a:solidFill>
              <a:effectLst/>
              <a:latin typeface="News Gothic MT" charset="0"/>
              <a:ea typeface="News Gothic MT" charset="0"/>
              <a:cs typeface="News Gothic MT" charset="0"/>
            </a:rPr>
            <a:t> The Annual Net Cost (Total) divided by the total number of households in the community. </a:t>
          </a:r>
          <a:r>
            <a:rPr lang="en-US" sz="1100" i="1">
              <a:solidFill>
                <a:schemeClr val="bg2">
                  <a:lumMod val="25000"/>
                </a:schemeClr>
              </a:solidFill>
              <a:effectLst/>
              <a:latin typeface="News Gothic MT" charset="0"/>
              <a:ea typeface="News Gothic MT" charset="0"/>
              <a:cs typeface="News Gothic MT" charset="0"/>
            </a:rPr>
            <a:t>Note: This is not the</a:t>
          </a:r>
          <a:r>
            <a:rPr lang="en-US" sz="1100" i="1" baseline="0">
              <a:solidFill>
                <a:schemeClr val="bg2">
                  <a:lumMod val="25000"/>
                </a:schemeClr>
              </a:solidFill>
              <a:effectLst/>
              <a:latin typeface="News Gothic MT" charset="0"/>
              <a:ea typeface="News Gothic MT" charset="0"/>
              <a:cs typeface="News Gothic MT" charset="0"/>
            </a:rPr>
            <a:t> same as</a:t>
          </a:r>
          <a:r>
            <a:rPr lang="en-US" sz="1100">
              <a:solidFill>
                <a:schemeClr val="bg2">
                  <a:lumMod val="25000"/>
                </a:schemeClr>
              </a:solidFill>
              <a:effectLst/>
              <a:latin typeface="News Gothic MT" charset="0"/>
              <a:ea typeface="News Gothic MT" charset="0"/>
              <a:cs typeface="News Gothic MT" charset="0"/>
            </a:rPr>
            <a:t> </a:t>
          </a:r>
          <a:r>
            <a:rPr lang="en-US" sz="1100" i="1">
              <a:solidFill>
                <a:schemeClr val="bg2">
                  <a:lumMod val="25000"/>
                </a:schemeClr>
              </a:solidFill>
              <a:effectLst/>
              <a:latin typeface="News Gothic MT" charset="0"/>
              <a:ea typeface="News Gothic MT" charset="0"/>
              <a:cs typeface="News Gothic MT" charset="0"/>
            </a:rPr>
            <a:t>the fee that would be charged to households for a program.</a:t>
          </a:r>
          <a:endParaRPr lang="en-US" sz="1100">
            <a:solidFill>
              <a:schemeClr val="bg2">
                <a:lumMod val="25000"/>
              </a:schemeClr>
            </a:solidFill>
            <a:effectLst/>
            <a:latin typeface="News Gothic MT" charset="0"/>
            <a:ea typeface="News Gothic MT" charset="0"/>
            <a:cs typeface="News Gothic MT" charset="0"/>
          </a:endParaRPr>
        </a:p>
        <a:p>
          <a:pPr lvl="0"/>
          <a:endParaRPr lang="en-US" sz="1100" b="1">
            <a:solidFill>
              <a:schemeClr val="bg2">
                <a:lumMod val="25000"/>
              </a:schemeClr>
            </a:solidFill>
            <a:effectLst/>
            <a:latin typeface="News Gothic MT" charset="0"/>
            <a:ea typeface="News Gothic MT" charset="0"/>
            <a:cs typeface="News Gothic MT" charset="0"/>
          </a:endParaRPr>
        </a:p>
        <a:p>
          <a:pPr lvl="0"/>
          <a:r>
            <a:rPr lang="en-US" sz="1100" b="1">
              <a:solidFill>
                <a:schemeClr val="bg2">
                  <a:lumMod val="25000"/>
                </a:schemeClr>
              </a:solidFill>
              <a:effectLst/>
              <a:latin typeface="News Gothic MT" charset="0"/>
              <a:ea typeface="News Gothic MT" charset="0"/>
              <a:cs typeface="News Gothic MT" charset="0"/>
            </a:rPr>
            <a:t>6. Cost per Ton Recycled:</a:t>
          </a:r>
          <a:r>
            <a:rPr lang="en-US" sz="1100">
              <a:solidFill>
                <a:schemeClr val="bg2">
                  <a:lumMod val="25000"/>
                </a:schemeClr>
              </a:solidFill>
              <a:effectLst/>
              <a:latin typeface="News Gothic MT" charset="0"/>
              <a:ea typeface="News Gothic MT" charset="0"/>
              <a:cs typeface="News Gothic MT" charset="0"/>
            </a:rPr>
            <a:t> The Annual Net Cost (Total) divided by the total number of tons recycled per year. Allows the user to easily compare the cost per ton for each program option.</a:t>
          </a:r>
        </a:p>
        <a:p>
          <a:pPr lvl="0"/>
          <a:endParaRPr lang="en-US" sz="1100" b="1">
            <a:solidFill>
              <a:schemeClr val="bg2">
                <a:lumMod val="25000"/>
              </a:schemeClr>
            </a:solidFill>
            <a:effectLst/>
            <a:latin typeface="News Gothic MT" charset="0"/>
            <a:ea typeface="News Gothic MT" charset="0"/>
            <a:cs typeface="News Gothic MT" charset="0"/>
          </a:endParaRPr>
        </a:p>
        <a:p>
          <a:pPr lvl="0"/>
          <a:r>
            <a:rPr lang="en-US" sz="1100" b="1">
              <a:solidFill>
                <a:schemeClr val="bg2">
                  <a:lumMod val="25000"/>
                </a:schemeClr>
              </a:solidFill>
              <a:effectLst/>
              <a:latin typeface="News Gothic MT" charset="0"/>
              <a:ea typeface="News Gothic MT" charset="0"/>
              <a:cs typeface="News Gothic MT" charset="0"/>
            </a:rPr>
            <a:t>7. Capital Cost (Total):</a:t>
          </a:r>
          <a:r>
            <a:rPr lang="en-US" sz="1100">
              <a:solidFill>
                <a:schemeClr val="bg2">
                  <a:lumMod val="25000"/>
                </a:schemeClr>
              </a:solidFill>
              <a:effectLst/>
              <a:latin typeface="News Gothic MT" charset="0"/>
              <a:ea typeface="News Gothic MT" charset="0"/>
              <a:cs typeface="News Gothic MT" charset="0"/>
            </a:rPr>
            <a:t> The total cost for all capital equipment.</a:t>
          </a:r>
        </a:p>
        <a:p>
          <a:pPr lvl="0"/>
          <a:endParaRPr lang="en-US" sz="1100" b="1">
            <a:solidFill>
              <a:schemeClr val="bg2">
                <a:lumMod val="25000"/>
              </a:schemeClr>
            </a:solidFill>
            <a:effectLst/>
            <a:latin typeface="News Gothic MT" charset="0"/>
            <a:ea typeface="News Gothic MT" charset="0"/>
            <a:cs typeface="News Gothic MT" charset="0"/>
          </a:endParaRPr>
        </a:p>
        <a:p>
          <a:pPr lvl="0"/>
          <a:r>
            <a:rPr lang="en-US" sz="1100" b="1">
              <a:solidFill>
                <a:schemeClr val="bg2">
                  <a:lumMod val="25000"/>
                </a:schemeClr>
              </a:solidFill>
              <a:effectLst/>
              <a:latin typeface="News Gothic MT" charset="0"/>
              <a:ea typeface="News Gothic MT" charset="0"/>
              <a:cs typeface="News Gothic MT" charset="0"/>
            </a:rPr>
            <a:t>8. Total Number of Vehicles:</a:t>
          </a:r>
          <a:r>
            <a:rPr lang="en-US" sz="1100">
              <a:solidFill>
                <a:schemeClr val="bg2">
                  <a:lumMod val="25000"/>
                </a:schemeClr>
              </a:solidFill>
              <a:effectLst/>
              <a:latin typeface="News Gothic MT" charset="0"/>
              <a:ea typeface="News Gothic MT" charset="0"/>
              <a:cs typeface="News Gothic MT" charset="0"/>
            </a:rPr>
            <a:t> The total number of vehicles, including collection vehicles (split bodied rear load or fully automated side load), back-up collection vehicles for larger fleets, supervisor pick-up trucks for route checks in larger communities, and cart delivery and maintenance vehicles in larger communities.</a:t>
          </a:r>
        </a:p>
        <a:p>
          <a:pPr lvl="0"/>
          <a:endParaRPr lang="en-US" sz="1100" b="1">
            <a:solidFill>
              <a:schemeClr val="bg2">
                <a:lumMod val="25000"/>
              </a:schemeClr>
            </a:solidFill>
            <a:effectLst/>
            <a:latin typeface="News Gothic MT" charset="0"/>
            <a:ea typeface="News Gothic MT" charset="0"/>
            <a:cs typeface="News Gothic MT" charset="0"/>
          </a:endParaRPr>
        </a:p>
        <a:p>
          <a:pPr lvl="0"/>
          <a:r>
            <a:rPr lang="en-US" sz="1100" b="1">
              <a:solidFill>
                <a:schemeClr val="bg2">
                  <a:lumMod val="25000"/>
                </a:schemeClr>
              </a:solidFill>
              <a:effectLst/>
              <a:latin typeface="News Gothic MT" charset="0"/>
              <a:ea typeface="News Gothic MT" charset="0"/>
              <a:cs typeface="News Gothic MT" charset="0"/>
            </a:rPr>
            <a:t>9. Total Number of Staff:</a:t>
          </a:r>
          <a:r>
            <a:rPr lang="en-US" sz="1100">
              <a:solidFill>
                <a:schemeClr val="bg2">
                  <a:lumMod val="25000"/>
                </a:schemeClr>
              </a:solidFill>
              <a:effectLst/>
              <a:latin typeface="News Gothic MT" charset="0"/>
              <a:ea typeface="News Gothic MT" charset="0"/>
              <a:cs typeface="News Gothic MT" charset="0"/>
            </a:rPr>
            <a:t> Includes the total number of staff needed to provide collection services, route supervisors and cart maintenance. Does not include administrative staff, fleet maintenance, billing staff or other support staff.</a:t>
          </a:r>
        </a:p>
        <a:p>
          <a:pPr lvl="0"/>
          <a:endParaRPr lang="en-US" sz="1100">
            <a:solidFill>
              <a:schemeClr val="bg2">
                <a:lumMod val="25000"/>
              </a:schemeClr>
            </a:solidFill>
            <a:effectLst/>
            <a:latin typeface="News Gothic MT" charset="0"/>
            <a:ea typeface="News Gothic MT" charset="0"/>
            <a:cs typeface="News Gothic MT"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bg2">
                  <a:lumMod val="25000"/>
                </a:schemeClr>
              </a:solidFill>
              <a:effectLst/>
              <a:latin typeface="News Gothic MT" charset="0"/>
              <a:ea typeface="News Gothic MT" charset="0"/>
              <a:cs typeface="News Gothic MT" charset="0"/>
            </a:rPr>
            <a:t>10. Total Number of Drop-Offs:</a:t>
          </a:r>
          <a:r>
            <a:rPr lang="en-US" sz="1100" b="1" baseline="0">
              <a:solidFill>
                <a:schemeClr val="bg2">
                  <a:lumMod val="25000"/>
                </a:schemeClr>
              </a:solidFill>
              <a:effectLst/>
              <a:latin typeface="News Gothic MT" charset="0"/>
              <a:ea typeface="News Gothic MT" charset="0"/>
              <a:cs typeface="News Gothic MT" charset="0"/>
            </a:rPr>
            <a:t> </a:t>
          </a:r>
          <a:r>
            <a:rPr lang="en-US" sz="1100">
              <a:solidFill>
                <a:schemeClr val="bg2">
                  <a:lumMod val="25000"/>
                </a:schemeClr>
              </a:solidFill>
              <a:effectLst/>
              <a:latin typeface="News Gothic MT" charset="0"/>
              <a:ea typeface="News Gothic MT" charset="0"/>
              <a:cs typeface="News Gothic MT" charset="0"/>
            </a:rPr>
            <a:t>This is the number </a:t>
          </a:r>
          <a:r>
            <a:rPr lang="en-US" sz="1100" baseline="0">
              <a:solidFill>
                <a:schemeClr val="bg2">
                  <a:lumMod val="25000"/>
                </a:schemeClr>
              </a:solidFill>
              <a:effectLst/>
              <a:latin typeface="News Gothic MT" charset="0"/>
              <a:ea typeface="News Gothic MT" charset="0"/>
              <a:cs typeface="News Gothic MT" charset="0"/>
            </a:rPr>
            <a:t>of recycling drop-off locations, based on an assumption that a drop-off location is required for a specific number of households, depending on the selected community type. Organics drop-offs were not considered in this model. </a:t>
          </a:r>
          <a:endParaRPr lang="en-US" sz="1100" b="1">
            <a:solidFill>
              <a:schemeClr val="bg2">
                <a:lumMod val="25000"/>
              </a:schemeClr>
            </a:solidFill>
            <a:effectLst/>
            <a:latin typeface="News Gothic MT" charset="0"/>
            <a:ea typeface="News Gothic MT" charset="0"/>
            <a:cs typeface="News Gothic MT" charset="0"/>
          </a:endParaRPr>
        </a:p>
        <a:p>
          <a:pPr lvl="0"/>
          <a:endParaRPr lang="en-US" sz="1100" b="1">
            <a:solidFill>
              <a:schemeClr val="bg2">
                <a:lumMod val="25000"/>
              </a:schemeClr>
            </a:solidFill>
            <a:effectLst/>
            <a:latin typeface="News Gothic MT" charset="0"/>
            <a:ea typeface="News Gothic MT" charset="0"/>
            <a:cs typeface="News Gothic MT" charset="0"/>
          </a:endParaRPr>
        </a:p>
        <a:p>
          <a:pPr lvl="0"/>
          <a:r>
            <a:rPr lang="en-US" sz="1100" b="1">
              <a:solidFill>
                <a:schemeClr val="bg2">
                  <a:lumMod val="25000"/>
                </a:schemeClr>
              </a:solidFill>
              <a:effectLst/>
              <a:latin typeface="News Gothic MT" charset="0"/>
              <a:ea typeface="News Gothic MT" charset="0"/>
              <a:cs typeface="News Gothic MT" charset="0"/>
            </a:rPr>
            <a:t>11. Capital Cost Vehicles:</a:t>
          </a:r>
          <a:r>
            <a:rPr lang="en-US" sz="1100">
              <a:solidFill>
                <a:schemeClr val="bg2">
                  <a:lumMod val="25000"/>
                </a:schemeClr>
              </a:solidFill>
              <a:effectLst/>
              <a:latin typeface="News Gothic MT" charset="0"/>
              <a:ea typeface="News Gothic MT" charset="0"/>
              <a:cs typeface="News Gothic MT" charset="0"/>
            </a:rPr>
            <a:t> The total capital cost of all vehicles, including interest.</a:t>
          </a:r>
        </a:p>
        <a:p>
          <a:pPr lvl="0"/>
          <a:endParaRPr lang="en-US" sz="1100" b="1">
            <a:solidFill>
              <a:schemeClr val="bg2">
                <a:lumMod val="25000"/>
              </a:schemeClr>
            </a:solidFill>
            <a:effectLst/>
            <a:latin typeface="News Gothic MT" charset="0"/>
            <a:ea typeface="News Gothic MT" charset="0"/>
            <a:cs typeface="News Gothic MT" charset="0"/>
          </a:endParaRPr>
        </a:p>
        <a:p>
          <a:pPr lvl="0"/>
          <a:r>
            <a:rPr lang="en-US" sz="1100" b="1">
              <a:solidFill>
                <a:schemeClr val="bg2">
                  <a:lumMod val="25000"/>
                </a:schemeClr>
              </a:solidFill>
              <a:effectLst/>
              <a:latin typeface="News Gothic MT" charset="0"/>
              <a:ea typeface="News Gothic MT" charset="0"/>
              <a:cs typeface="News Gothic MT" charset="0"/>
            </a:rPr>
            <a:t>12. Capital Cost Containers:</a:t>
          </a:r>
          <a:r>
            <a:rPr lang="en-US" sz="1100">
              <a:solidFill>
                <a:schemeClr val="bg2">
                  <a:lumMod val="25000"/>
                </a:schemeClr>
              </a:solidFill>
              <a:effectLst/>
              <a:latin typeface="News Gothic MT" charset="0"/>
              <a:ea typeface="News Gothic MT" charset="0"/>
              <a:cs typeface="News Gothic MT" charset="0"/>
            </a:rPr>
            <a:t> The total capital cost of containers, including interest.</a:t>
          </a:r>
        </a:p>
        <a:p>
          <a:pPr lvl="0"/>
          <a:endParaRPr lang="en-US" sz="1100">
            <a:solidFill>
              <a:schemeClr val="bg2">
                <a:lumMod val="25000"/>
              </a:schemeClr>
            </a:solidFill>
            <a:effectLst/>
            <a:latin typeface="News Gothic MT" charset="0"/>
            <a:ea typeface="News Gothic MT" charset="0"/>
            <a:cs typeface="News Gothic MT" charset="0"/>
          </a:endParaRPr>
        </a:p>
        <a:p>
          <a:pPr lvl="0"/>
          <a:r>
            <a:rPr lang="en-US" sz="1100" b="1">
              <a:solidFill>
                <a:schemeClr val="bg2">
                  <a:lumMod val="25000"/>
                </a:schemeClr>
              </a:solidFill>
              <a:effectLst/>
              <a:latin typeface="News Gothic MT" charset="0"/>
              <a:ea typeface="News Gothic MT" charset="0"/>
              <a:cs typeface="News Gothic MT" charset="0"/>
            </a:rPr>
            <a:t>13. Annual Cost for Drop-Off Sites (Total): </a:t>
          </a:r>
          <a:r>
            <a:rPr lang="en-US" sz="1100">
              <a:solidFill>
                <a:schemeClr val="bg2">
                  <a:lumMod val="25000"/>
                </a:schemeClr>
              </a:solidFill>
              <a:effectLst/>
              <a:latin typeface="News Gothic MT" charset="0"/>
              <a:ea typeface="News Gothic MT" charset="0"/>
              <a:cs typeface="News Gothic MT" charset="0"/>
            </a:rPr>
            <a:t>The total annual cost</a:t>
          </a:r>
          <a:r>
            <a:rPr lang="en-US" sz="1100" baseline="0">
              <a:solidFill>
                <a:schemeClr val="bg2">
                  <a:lumMod val="25000"/>
                </a:schemeClr>
              </a:solidFill>
              <a:effectLst/>
              <a:latin typeface="News Gothic MT" charset="0"/>
              <a:ea typeface="News Gothic MT" charset="0"/>
              <a:cs typeface="News Gothic MT" charset="0"/>
            </a:rPr>
            <a:t> to build and outfit enough drop-off sites to adequately service the entire community. Includes cost to pave, signage, and minimum three roll-off containers. Does not include full time staff at each site or power. Drop-off site building costs are amortized over 20 years and includes interest and inflation. Container costs are amortized over 7 years and include interest. Organics drop-offs were not considered in this model. </a:t>
          </a:r>
          <a:endParaRPr lang="en-US" sz="1100">
            <a:solidFill>
              <a:schemeClr val="bg2">
                <a:lumMod val="25000"/>
              </a:schemeClr>
            </a:solidFill>
            <a:effectLst/>
            <a:latin typeface="News Gothic MT" charset="0"/>
            <a:ea typeface="News Gothic MT" charset="0"/>
            <a:cs typeface="News Gothic MT" charset="0"/>
          </a:endParaRPr>
        </a:p>
        <a:p>
          <a:r>
            <a:rPr lang="en-US" sz="1100">
              <a:solidFill>
                <a:srgbClr val="000000"/>
              </a:solidFill>
              <a:effectLst/>
              <a:latin typeface="News Gothic MT" charset="0"/>
              <a:ea typeface="News Gothic MT" charset="0"/>
              <a:cs typeface="News Gothic MT" charset="0"/>
            </a:rPr>
            <a:t> </a:t>
          </a:r>
        </a:p>
        <a:p>
          <a:pPr algn="l"/>
          <a:r>
            <a:rPr lang="en-US" sz="2400" b="1">
              <a:solidFill>
                <a:srgbClr val="009394"/>
              </a:solidFill>
              <a:effectLst/>
              <a:latin typeface="Gill Sans MT Condensed" charset="0"/>
              <a:ea typeface="Gill Sans MT Condensed" charset="0"/>
              <a:cs typeface="Gill Sans MT Condensed" charset="0"/>
            </a:rPr>
            <a:t>DETAILED DESCRIPTIONS OF PROGRAMS</a:t>
          </a:r>
        </a:p>
        <a:p>
          <a:r>
            <a:rPr lang="en-US" sz="1200" b="1">
              <a:solidFill>
                <a:srgbClr val="92D050"/>
              </a:solidFill>
              <a:effectLst/>
              <a:latin typeface="News Gothic MT" charset="0"/>
              <a:ea typeface="News Gothic MT" charset="0"/>
              <a:cs typeface="News Gothic MT" charset="0"/>
            </a:rPr>
            <a:t>DROP-OFF</a:t>
          </a:r>
          <a:endParaRPr lang="en-US" sz="1200">
            <a:solidFill>
              <a:srgbClr val="92D050"/>
            </a:solidFill>
            <a:effectLst/>
            <a:latin typeface="News Gothic MT" charset="0"/>
            <a:ea typeface="News Gothic MT" charset="0"/>
            <a:cs typeface="News Gothic MT" charset="0"/>
          </a:endParaRPr>
        </a:p>
        <a:p>
          <a:r>
            <a:rPr lang="en-US" sz="1100" b="1">
              <a:solidFill>
                <a:schemeClr val="bg2">
                  <a:lumMod val="25000"/>
                </a:schemeClr>
              </a:solidFill>
              <a:effectLst/>
              <a:latin typeface="News Gothic MT" charset="0"/>
              <a:ea typeface="News Gothic MT" charset="0"/>
              <a:cs typeface="News Gothic MT" charset="0"/>
            </a:rPr>
            <a:t>Comprehensive Drop-Off</a:t>
          </a:r>
          <a:r>
            <a:rPr lang="en-US" sz="1100">
              <a:solidFill>
                <a:schemeClr val="bg2">
                  <a:lumMod val="25000"/>
                </a:schemeClr>
              </a:solidFill>
              <a:effectLst/>
              <a:latin typeface="News Gothic MT" charset="0"/>
              <a:ea typeface="News Gothic MT" charset="0"/>
              <a:cs typeface="News Gothic MT" charset="0"/>
            </a:rPr>
            <a:t> – A</a:t>
          </a:r>
          <a:r>
            <a:rPr lang="en-US" sz="1100" baseline="0">
              <a:solidFill>
                <a:schemeClr val="bg2">
                  <a:lumMod val="25000"/>
                </a:schemeClr>
              </a:solidFill>
              <a:effectLst/>
              <a:latin typeface="News Gothic MT" charset="0"/>
              <a:ea typeface="News Gothic MT" charset="0"/>
              <a:cs typeface="News Gothic MT" charset="0"/>
            </a:rPr>
            <a:t> comprehensive drop-off is a facility for the collection of single-stream or dual-stream materials at a developed site that is paved, has a minimum of three roll-off recycling containers, and is serviced on a regular schedule with the material then taken to a transfer station of an existing regional MRF that is within 15 miles of the location. </a:t>
          </a:r>
        </a:p>
        <a:p>
          <a:endParaRPr lang="en-US" sz="1100" b="1">
            <a:solidFill>
              <a:schemeClr val="bg2">
                <a:lumMod val="25000"/>
              </a:schemeClr>
            </a:solidFill>
            <a:effectLst/>
            <a:latin typeface="News Gothic MT" charset="0"/>
            <a:ea typeface="News Gothic MT" charset="0"/>
            <a:cs typeface="News Gothic MT" charset="0"/>
          </a:endParaRPr>
        </a:p>
        <a:p>
          <a:r>
            <a:rPr lang="en-US" sz="1200" b="1">
              <a:solidFill>
                <a:srgbClr val="92D050"/>
              </a:solidFill>
              <a:effectLst/>
              <a:latin typeface="News Gothic MT" charset="0"/>
              <a:ea typeface="News Gothic MT" charset="0"/>
              <a:cs typeface="News Gothic MT" charset="0"/>
            </a:rPr>
            <a:t>DUAL STREAM WITH BINS</a:t>
          </a:r>
          <a:endParaRPr lang="en-US" sz="1200">
            <a:solidFill>
              <a:srgbClr val="92D050"/>
            </a:solidFill>
            <a:effectLst/>
            <a:latin typeface="News Gothic MT" charset="0"/>
            <a:ea typeface="News Gothic MT" charset="0"/>
            <a:cs typeface="News Gothic MT" charset="0"/>
          </a:endParaRPr>
        </a:p>
        <a:p>
          <a:r>
            <a:rPr lang="en-US" sz="1100" b="1">
              <a:solidFill>
                <a:schemeClr val="bg2">
                  <a:lumMod val="25000"/>
                </a:schemeClr>
              </a:solidFill>
              <a:effectLst/>
              <a:latin typeface="News Gothic MT" charset="0"/>
              <a:ea typeface="News Gothic MT" charset="0"/>
              <a:cs typeface="News Gothic MT" charset="0"/>
            </a:rPr>
            <a:t>Dual Stream Program with Bins, Every Other Week Collection:</a:t>
          </a:r>
          <a:r>
            <a:rPr lang="en-US" sz="1100">
              <a:solidFill>
                <a:schemeClr val="bg2">
                  <a:lumMod val="25000"/>
                </a:schemeClr>
              </a:solidFill>
              <a:effectLst/>
              <a:latin typeface="News Gothic MT" charset="0"/>
              <a:ea typeface="News Gothic MT" charset="0"/>
              <a:cs typeface="News Gothic MT" charset="0"/>
            </a:rPr>
            <a:t> Recyclables are collected manually in two 18-gallon open-topped containers. Collection occurs at the curb or in the alley and containers are emptied into split-bodied manual rear load trucks. Each truck requires two staff members, one to drive and one to empty containers. Each household in the community is provided with two containers, one container is used to collect fibers (paper, cardboard, paperboard, newspapers</a:t>
          </a:r>
          <a:r>
            <a:rPr lang="en-US" sz="1100" baseline="0">
              <a:solidFill>
                <a:schemeClr val="bg2">
                  <a:lumMod val="25000"/>
                </a:schemeClr>
              </a:solidFill>
              <a:effectLst/>
              <a:latin typeface="News Gothic MT" charset="0"/>
              <a:ea typeface="News Gothic MT" charset="0"/>
              <a:cs typeface="News Gothic MT" charset="0"/>
            </a:rPr>
            <a:t> and</a:t>
          </a:r>
          <a:r>
            <a:rPr lang="en-US" sz="1100">
              <a:solidFill>
                <a:schemeClr val="bg2">
                  <a:lumMod val="25000"/>
                </a:schemeClr>
              </a:solidFill>
              <a:effectLst/>
              <a:latin typeface="News Gothic MT" charset="0"/>
              <a:ea typeface="News Gothic MT" charset="0"/>
              <a:cs typeface="News Gothic MT" charset="0"/>
            </a:rPr>
            <a:t> magazines) and the second container is used to collect containers (aluminum, tin and steel cans, plastic jugs and tubs, and glass bottles). Collection occurs on an every-other-week basis, meaning that on Week 1, half of the community is provided service and on Week 2, the other half of the community is provided service.</a:t>
          </a:r>
        </a:p>
        <a:p>
          <a:endParaRPr lang="en-US" sz="1100" b="1">
            <a:solidFill>
              <a:schemeClr val="bg2">
                <a:lumMod val="25000"/>
              </a:schemeClr>
            </a:solidFill>
            <a:effectLst/>
            <a:latin typeface="News Gothic MT" charset="0"/>
            <a:ea typeface="News Gothic MT" charset="0"/>
            <a:cs typeface="News Gothic MT" charset="0"/>
          </a:endParaRPr>
        </a:p>
        <a:p>
          <a:r>
            <a:rPr lang="en-US" sz="1100" b="1">
              <a:solidFill>
                <a:schemeClr val="bg2">
                  <a:lumMod val="25000"/>
                </a:schemeClr>
              </a:solidFill>
              <a:effectLst/>
              <a:latin typeface="News Gothic MT" charset="0"/>
              <a:ea typeface="News Gothic MT" charset="0"/>
              <a:cs typeface="News Gothic MT" charset="0"/>
            </a:rPr>
            <a:t>Dual Steam Program with Bins, Weekly Collection:</a:t>
          </a:r>
          <a:r>
            <a:rPr lang="en-US" sz="1100">
              <a:solidFill>
                <a:schemeClr val="bg2">
                  <a:lumMod val="25000"/>
                </a:schemeClr>
              </a:solidFill>
              <a:effectLst/>
              <a:latin typeface="News Gothic MT" charset="0"/>
              <a:ea typeface="News Gothic MT" charset="0"/>
              <a:cs typeface="News Gothic MT" charset="0"/>
            </a:rPr>
            <a:t> Same as program above except collection occurs for the entire community on a weekly basis.</a:t>
          </a:r>
        </a:p>
        <a:p>
          <a:endParaRPr lang="en-US" sz="1100" b="1">
            <a:solidFill>
              <a:schemeClr val="bg2">
                <a:lumMod val="25000"/>
              </a:schemeClr>
            </a:solidFill>
            <a:effectLst/>
            <a:latin typeface="News Gothic MT" charset="0"/>
            <a:ea typeface="News Gothic MT" charset="0"/>
            <a:cs typeface="News Gothic MT" charset="0"/>
          </a:endParaRPr>
        </a:p>
        <a:p>
          <a:r>
            <a:rPr lang="en-US" sz="1200" b="1">
              <a:solidFill>
                <a:srgbClr val="92D050"/>
              </a:solidFill>
              <a:effectLst/>
              <a:latin typeface="News Gothic MT" charset="0"/>
              <a:ea typeface="News Gothic MT" charset="0"/>
              <a:cs typeface="News Gothic MT" charset="0"/>
            </a:rPr>
            <a:t>DUAL STREAM WITH CARTS</a:t>
          </a:r>
          <a:endParaRPr lang="en-US" sz="1200">
            <a:solidFill>
              <a:srgbClr val="92D050"/>
            </a:solidFill>
            <a:effectLst/>
            <a:latin typeface="News Gothic MT" charset="0"/>
            <a:ea typeface="News Gothic MT" charset="0"/>
            <a:cs typeface="News Gothic MT" charset="0"/>
          </a:endParaRPr>
        </a:p>
        <a:p>
          <a:r>
            <a:rPr lang="en-US" sz="1100" b="1">
              <a:solidFill>
                <a:schemeClr val="bg2">
                  <a:lumMod val="25000"/>
                </a:schemeClr>
              </a:solidFill>
              <a:effectLst/>
              <a:latin typeface="News Gothic MT" charset="0"/>
              <a:ea typeface="News Gothic MT" charset="0"/>
              <a:cs typeface="News Gothic MT" charset="0"/>
            </a:rPr>
            <a:t>Dual Stream Program with Carts, Every Other Week Collection:</a:t>
          </a:r>
          <a:r>
            <a:rPr lang="en-US" sz="1100">
              <a:solidFill>
                <a:schemeClr val="bg2">
                  <a:lumMod val="25000"/>
                </a:schemeClr>
              </a:solidFill>
              <a:effectLst/>
              <a:latin typeface="News Gothic MT" charset="0"/>
              <a:ea typeface="News Gothic MT" charset="0"/>
              <a:cs typeface="News Gothic MT" charset="0"/>
            </a:rPr>
            <a:t> Recyclables are collected in two 65-gallon lidded and wheeled carts. Collection occurs at the curb or in the alley and containers are emptied using fully automated side loading trucks. Each truck is staffed by one employee. Each household in the community is provided with two containers: one container is used to collect fibers (paper, cardboard, paperboard, newspapers</a:t>
          </a:r>
          <a:r>
            <a:rPr lang="en-US" sz="1100" baseline="0">
              <a:solidFill>
                <a:schemeClr val="bg2">
                  <a:lumMod val="25000"/>
                </a:schemeClr>
              </a:solidFill>
              <a:effectLst/>
              <a:latin typeface="News Gothic MT" charset="0"/>
              <a:ea typeface="News Gothic MT" charset="0"/>
              <a:cs typeface="News Gothic MT" charset="0"/>
            </a:rPr>
            <a:t> and</a:t>
          </a:r>
          <a:r>
            <a:rPr lang="en-US" sz="1100">
              <a:solidFill>
                <a:schemeClr val="bg2">
                  <a:lumMod val="25000"/>
                </a:schemeClr>
              </a:solidFill>
              <a:effectLst/>
              <a:latin typeface="News Gothic MT" charset="0"/>
              <a:ea typeface="News Gothic MT" charset="0"/>
              <a:cs typeface="News Gothic MT" charset="0"/>
            </a:rPr>
            <a:t> magazines) and the second container is used to collect containers (aluminum, tin and steel cans, plastic jugs and tubs, and glass bottles). Collection occurs on an every-other-week alternating basis, meaning that on Week 1 the entire community receives collection of their fibers cart, and on Week 2, the entire community receives collection of their containers</a:t>
          </a:r>
          <a:r>
            <a:rPr lang="en-US" sz="1100" baseline="0">
              <a:solidFill>
                <a:schemeClr val="bg2">
                  <a:lumMod val="25000"/>
                </a:schemeClr>
              </a:solidFill>
              <a:effectLst/>
              <a:latin typeface="News Gothic MT" charset="0"/>
              <a:ea typeface="News Gothic MT" charset="0"/>
              <a:cs typeface="News Gothic MT" charset="0"/>
            </a:rPr>
            <a:t> </a:t>
          </a:r>
          <a:r>
            <a:rPr lang="en-US" sz="1100">
              <a:solidFill>
                <a:schemeClr val="bg2">
                  <a:lumMod val="25000"/>
                </a:schemeClr>
              </a:solidFill>
              <a:effectLst/>
              <a:latin typeface="News Gothic MT" charset="0"/>
              <a:ea typeface="News Gothic MT" charset="0"/>
              <a:cs typeface="News Gothic MT" charset="0"/>
            </a:rPr>
            <a:t>cart.</a:t>
          </a:r>
        </a:p>
        <a:p>
          <a:endParaRPr lang="en-US" sz="1100" b="1">
            <a:solidFill>
              <a:schemeClr val="bg2">
                <a:lumMod val="25000"/>
              </a:schemeClr>
            </a:solidFill>
            <a:effectLst/>
            <a:latin typeface="News Gothic MT" charset="0"/>
            <a:ea typeface="News Gothic MT" charset="0"/>
            <a:cs typeface="News Gothic MT" charset="0"/>
          </a:endParaRPr>
        </a:p>
        <a:p>
          <a:r>
            <a:rPr lang="en-US" sz="1100" b="1">
              <a:solidFill>
                <a:schemeClr val="bg2">
                  <a:lumMod val="25000"/>
                </a:schemeClr>
              </a:solidFill>
              <a:effectLst/>
              <a:latin typeface="News Gothic MT" charset="0"/>
              <a:ea typeface="News Gothic MT" charset="0"/>
              <a:cs typeface="News Gothic MT" charset="0"/>
            </a:rPr>
            <a:t>Dual Steam Program with Carts, Weekly Collection:</a:t>
          </a:r>
          <a:r>
            <a:rPr lang="en-US" sz="1100">
              <a:solidFill>
                <a:schemeClr val="bg2">
                  <a:lumMod val="25000"/>
                </a:schemeClr>
              </a:solidFill>
              <a:effectLst/>
              <a:latin typeface="News Gothic MT" charset="0"/>
              <a:ea typeface="News Gothic MT" charset="0"/>
              <a:cs typeface="News Gothic MT" charset="0"/>
            </a:rPr>
            <a:t> Same as program above except collection occurs for both carts (fibers and containers) for the entire community on a weekly basis.</a:t>
          </a:r>
        </a:p>
        <a:p>
          <a:endParaRPr lang="en-US" sz="1100" b="1">
            <a:solidFill>
              <a:schemeClr val="bg2">
                <a:lumMod val="25000"/>
              </a:schemeClr>
            </a:solidFill>
            <a:effectLst/>
            <a:latin typeface="News Gothic MT" charset="0"/>
            <a:ea typeface="News Gothic MT" charset="0"/>
            <a:cs typeface="News Gothic MT" charset="0"/>
          </a:endParaRPr>
        </a:p>
        <a:p>
          <a:r>
            <a:rPr lang="en-US" sz="1200" b="1">
              <a:solidFill>
                <a:srgbClr val="92D050"/>
              </a:solidFill>
              <a:effectLst/>
              <a:latin typeface="News Gothic MT" charset="0"/>
              <a:ea typeface="News Gothic MT" charset="0"/>
              <a:cs typeface="News Gothic MT" charset="0"/>
            </a:rPr>
            <a:t>SINGLE STREAM WITH CARTS</a:t>
          </a:r>
          <a:endParaRPr lang="en-US" sz="1200">
            <a:solidFill>
              <a:srgbClr val="92D050"/>
            </a:solidFill>
            <a:effectLst/>
            <a:latin typeface="News Gothic MT" charset="0"/>
            <a:ea typeface="News Gothic MT" charset="0"/>
            <a:cs typeface="News Gothic MT" charset="0"/>
          </a:endParaRPr>
        </a:p>
        <a:p>
          <a:r>
            <a:rPr lang="en-US" sz="1100" b="1">
              <a:solidFill>
                <a:schemeClr val="bg2">
                  <a:lumMod val="25000"/>
                </a:schemeClr>
              </a:solidFill>
              <a:effectLst/>
              <a:latin typeface="News Gothic MT" charset="0"/>
              <a:ea typeface="News Gothic MT" charset="0"/>
              <a:cs typeface="News Gothic MT" charset="0"/>
            </a:rPr>
            <a:t>Single Stream Program with Carts, Every Other Week Collection</a:t>
          </a:r>
          <a:r>
            <a:rPr lang="en-US" sz="1100">
              <a:solidFill>
                <a:schemeClr val="bg2">
                  <a:lumMod val="25000"/>
                </a:schemeClr>
              </a:solidFill>
              <a:effectLst/>
              <a:latin typeface="News Gothic MT" charset="0"/>
              <a:ea typeface="News Gothic MT" charset="0"/>
              <a:cs typeface="News Gothic MT" charset="0"/>
            </a:rPr>
            <a:t>: Recyclables are collected in a single 95-gallon lidded and wheeled cart. Collection occurs at the curb or in the alley and the container is emptied using fully automated side loading trucks. Each truck is staffed by one employee. Each household in the community is provided with one container and all recyclables (paper, cardboard, paperboard, newspapers, magazines, aluminum, tin, and steel cans, plastic jugs and tubs, glass bottles) are collected together. Collection occurs on an every-other-week basis meaning that on Week 1, half of the community is provided service and on Week 2, the other half of the community is provided service.</a:t>
          </a:r>
        </a:p>
        <a:p>
          <a:endParaRPr lang="en-US" sz="1100" b="1">
            <a:solidFill>
              <a:schemeClr val="bg2">
                <a:lumMod val="25000"/>
              </a:schemeClr>
            </a:solidFill>
            <a:effectLst/>
            <a:latin typeface="News Gothic MT" charset="0"/>
            <a:ea typeface="News Gothic MT" charset="0"/>
            <a:cs typeface="News Gothic MT" charset="0"/>
          </a:endParaRPr>
        </a:p>
        <a:p>
          <a:r>
            <a:rPr lang="en-US" sz="1100" b="1">
              <a:solidFill>
                <a:schemeClr val="bg2">
                  <a:lumMod val="25000"/>
                </a:schemeClr>
              </a:solidFill>
              <a:effectLst/>
              <a:latin typeface="News Gothic MT" charset="0"/>
              <a:ea typeface="News Gothic MT" charset="0"/>
              <a:cs typeface="News Gothic MT" charset="0"/>
            </a:rPr>
            <a:t>Single Stream Program with Carts, Weekly Collection:</a:t>
          </a:r>
          <a:r>
            <a:rPr lang="en-US" sz="1100">
              <a:solidFill>
                <a:schemeClr val="bg2">
                  <a:lumMod val="25000"/>
                </a:schemeClr>
              </a:solidFill>
              <a:effectLst/>
              <a:latin typeface="News Gothic MT" charset="0"/>
              <a:ea typeface="News Gothic MT" charset="0"/>
              <a:cs typeface="News Gothic MT" charset="0"/>
            </a:rPr>
            <a:t> Same as program above except collection occurs for the entire community on a weekly basis.</a:t>
          </a:r>
        </a:p>
        <a:p>
          <a:endParaRPr lang="en-US" sz="1100">
            <a:solidFill>
              <a:srgbClr val="000000"/>
            </a:solidFill>
            <a:effectLst/>
            <a:latin typeface="News Gothic MT" charset="0"/>
            <a:ea typeface="News Gothic MT" charset="0"/>
            <a:cs typeface="News Gothic MT"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92D050"/>
              </a:solidFill>
              <a:effectLst/>
              <a:uLnTx/>
              <a:uFillTx/>
              <a:latin typeface="News Gothic MT" charset="0"/>
              <a:ea typeface="News Gothic MT" charset="0"/>
              <a:cs typeface="News Gothic MT" charset="0"/>
            </a:rPr>
            <a:t>SEASONAL ORGANICS COLLECTION WITH CARTS</a:t>
          </a:r>
          <a:endParaRPr kumimoji="0" lang="en-US" sz="1200" b="0" i="0" u="none" strike="noStrike" kern="0" cap="none" spc="0" normalizeH="0" baseline="0" noProof="0">
            <a:ln>
              <a:noFill/>
            </a:ln>
            <a:solidFill>
              <a:srgbClr val="92D050"/>
            </a:solidFill>
            <a:effectLst/>
            <a:uLnTx/>
            <a:uFillTx/>
            <a:latin typeface="News Gothic MT" charset="0"/>
            <a:ea typeface="News Gothic MT" charset="0"/>
            <a:cs typeface="News Gothic MT"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rPr>
            <a:t>Organics are collected in a single 95-gallon lidded and wheeled cart. Program options include collecting only yard waste or yard waste as well as food waste. Collection occurs at the curb or in the alley and the container is emptied using fully automated side loading trucks. Each truck is staffed by one employee. Each household in the community is provided with one container. Collection occurs on an every week basis, seasonally for eight months out of the year.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1" u="none" strike="noStrike" kern="0" cap="none" spc="0" normalizeH="0" baseline="0" noProof="0">
              <a:ln>
                <a:noFill/>
              </a:ln>
              <a:solidFill>
                <a:srgbClr val="9A9C79">
                  <a:lumMod val="50000"/>
                </a:srgbClr>
              </a:solidFill>
              <a:effectLst/>
              <a:uLnTx/>
              <a:uFillTx/>
              <a:latin typeface="Calibri Light" panose="020F0302020204030204"/>
              <a:ea typeface="+mn-ea"/>
              <a:cs typeface="+mn-cs"/>
            </a:rPr>
            <a:t>Managing change in a resource-constrained world  </a:t>
          </a:r>
          <a:r>
            <a:rPr kumimoji="0" lang="en-US" sz="1200" b="0" i="0" u="none" strike="noStrike" kern="0" cap="none" spc="0" normalizeH="0" baseline="0" noProof="0">
              <a:ln>
                <a:noFill/>
              </a:ln>
              <a:solidFill>
                <a:srgbClr val="445A01">
                  <a:lumMod val="90000"/>
                  <a:lumOff val="10000"/>
                </a:srgbClr>
              </a:solidFill>
              <a:effectLst/>
              <a:uLnTx/>
              <a:uFillTx/>
              <a:latin typeface="Calibri Light" panose="020F0302020204030204"/>
              <a:ea typeface="+mn-ea"/>
              <a:cs typeface="+mn-cs"/>
            </a:rPr>
            <a:t>www.recycle.com</a:t>
          </a:r>
          <a:endParaRPr kumimoji="0" lang="en-US" sz="1200" b="1" i="1" u="none" strike="noStrike" kern="0" cap="none" spc="0" normalizeH="0" baseline="0" noProof="0">
            <a:ln>
              <a:noFill/>
            </a:ln>
            <a:solidFill>
              <a:srgbClr val="9A9C79">
                <a:lumMod val="5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rgbClr val="EEECE1">
                <a:lumMod val="25000"/>
              </a:srgbClr>
            </a:solidFill>
            <a:effectLst/>
            <a:uLnTx/>
            <a:uFillTx/>
            <a:latin typeface="News Gothic MT" charset="0"/>
            <a:ea typeface="News Gothic MT" charset="0"/>
            <a:cs typeface="News Gothic MT"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endParaRPr lang="en-US" sz="1100">
            <a:solidFill>
              <a:srgbClr val="000000"/>
            </a:solidFill>
            <a:effectLst/>
            <a:latin typeface="News Gothic MT" charset="0"/>
            <a:ea typeface="News Gothic MT" charset="0"/>
            <a:cs typeface="News Gothic MT"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1" u="none" strike="noStrike" kern="0" cap="none" spc="0" normalizeH="0" baseline="0" noProof="0">
            <a:ln>
              <a:noFill/>
            </a:ln>
            <a:solidFill>
              <a:srgbClr val="4221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1" u="none" strike="noStrike" kern="0" cap="none" spc="0" normalizeH="0" baseline="0" noProof="0">
              <a:ln>
                <a:noFill/>
              </a:ln>
              <a:solidFill>
                <a:srgbClr val="422100"/>
              </a:solidFill>
              <a:effectLst/>
              <a:uLnTx/>
              <a:uFillTx/>
              <a:latin typeface="+mn-lt"/>
              <a:ea typeface="+mn-ea"/>
              <a:cs typeface="+mn-cs"/>
            </a:rPr>
            <a:t>                                                                                                          </a:t>
          </a:r>
          <a:endParaRPr kumimoji="0" lang="en-US" sz="1200" b="0" i="0" u="none" strike="noStrike" kern="0" cap="none" spc="0" normalizeH="0" baseline="0" noProof="0">
            <a:ln>
              <a:noFill/>
            </a:ln>
            <a:solidFill>
              <a:srgbClr val="B9DC48">
                <a:lumMod val="75000"/>
              </a:srgbClr>
            </a:solidFill>
            <a:effectLst/>
            <a:uLnTx/>
            <a:uFillTx/>
            <a:latin typeface="Calibri Light" panose="020F0302020204030204"/>
            <a:ea typeface="+mn-ea"/>
            <a:cs typeface="+mn-cs"/>
          </a:endParaRPr>
        </a:p>
        <a:p>
          <a:endParaRPr lang="en-US" sz="1100">
            <a:solidFill>
              <a:srgbClr val="000000"/>
            </a:solidFill>
            <a:effectLst/>
            <a:latin typeface="News Gothic MT" charset="0"/>
            <a:ea typeface="News Gothic MT" charset="0"/>
            <a:cs typeface="News Gothic MT" charset="0"/>
          </a:endParaRPr>
        </a:p>
      </xdr:txBody>
    </xdr:sp>
    <xdr:clientData/>
  </xdr:twoCellAnchor>
  <xdr:twoCellAnchor>
    <xdr:from>
      <xdr:col>1</xdr:col>
      <xdr:colOff>3174</xdr:colOff>
      <xdr:row>21</xdr:row>
      <xdr:rowOff>190500</xdr:rowOff>
    </xdr:from>
    <xdr:to>
      <xdr:col>8</xdr:col>
      <xdr:colOff>942975</xdr:colOff>
      <xdr:row>25</xdr:row>
      <xdr:rowOff>206375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22249" y="6400800"/>
          <a:ext cx="9264651" cy="854075"/>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3200">
              <a:solidFill>
                <a:schemeClr val="bg1"/>
              </a:solidFill>
              <a:latin typeface="Gill Sans MT Condensed" charset="0"/>
              <a:ea typeface="Gill Sans MT Condensed" charset="0"/>
              <a:cs typeface="Gill Sans MT Condensed" charset="0"/>
            </a:rPr>
            <a:t>INTERPRETING YOUR RESULTS</a:t>
          </a:r>
        </a:p>
      </xdr:txBody>
    </xdr:sp>
    <xdr:clientData/>
  </xdr:twoCellAnchor>
  <xdr:twoCellAnchor editAs="oneCell">
    <xdr:from>
      <xdr:col>7</xdr:col>
      <xdr:colOff>819150</xdr:colOff>
      <xdr:row>120</xdr:row>
      <xdr:rowOff>152400</xdr:rowOff>
    </xdr:from>
    <xdr:to>
      <xdr:col>8</xdr:col>
      <xdr:colOff>816882</xdr:colOff>
      <xdr:row>124</xdr:row>
      <xdr:rowOff>92075</xdr:rowOff>
    </xdr:to>
    <xdr:pic>
      <xdr:nvPicPr>
        <xdr:cNvPr id="6" name="Picture 5" descr="RRSlogosmall">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6000" y="24028400"/>
          <a:ext cx="1128032" cy="6508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28413</xdr:colOff>
      <xdr:row>21</xdr:row>
      <xdr:rowOff>84812</xdr:rowOff>
    </xdr:from>
    <xdr:to>
      <xdr:col>5</xdr:col>
      <xdr:colOff>979488</xdr:colOff>
      <xdr:row>117</xdr:row>
      <xdr:rowOff>25400</xdr:rowOff>
    </xdr:to>
    <xdr:sp macro="" textlink="">
      <xdr:nvSpPr>
        <xdr:cNvPr id="7" name="TextBox 1">
          <a:extLst>
            <a:ext uri="{FF2B5EF4-FFF2-40B4-BE49-F238E27FC236}">
              <a16:creationId xmlns:a16="http://schemas.microsoft.com/office/drawing/2014/main" id="{00000000-0008-0000-0300-000002000000}"/>
            </a:ext>
          </a:extLst>
        </xdr:cNvPr>
        <xdr:cNvSpPr txBox="1"/>
      </xdr:nvSpPr>
      <xdr:spPr>
        <a:xfrm>
          <a:off x="257013" y="5285462"/>
          <a:ext cx="7663025" cy="1579018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rIns="182880" bIns="9144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chemeClr val="bg2">
                  <a:lumMod val="25000"/>
                </a:schemeClr>
              </a:solidFill>
              <a:effectLst/>
              <a:latin typeface="News Gothic MT" charset="0"/>
              <a:ea typeface="News Gothic MT" charset="0"/>
              <a:cs typeface="News Gothic MT" charset="0"/>
            </a:rPr>
            <a:t>The </a:t>
          </a:r>
          <a:r>
            <a:rPr lang="en-US" sz="1000">
              <a:solidFill>
                <a:schemeClr val="bg2">
                  <a:lumMod val="25000"/>
                </a:schemeClr>
              </a:solidFill>
              <a:effectLst/>
              <a:latin typeface="News Gothic MT" charset="0"/>
              <a:ea typeface="News Gothic MT" charset="0"/>
              <a:cs typeface="News Gothic MT" charset="0"/>
            </a:rPr>
            <a:t>results allow the user to compare the impacts and costs of direct haul,</a:t>
          </a:r>
          <a:r>
            <a:rPr lang="en-US" sz="1000" baseline="0">
              <a:solidFill>
                <a:schemeClr val="bg2">
                  <a:lumMod val="25000"/>
                </a:schemeClr>
              </a:solidFill>
              <a:effectLst/>
              <a:latin typeface="News Gothic MT" charset="0"/>
              <a:ea typeface="News Gothic MT" charset="0"/>
              <a:cs typeface="News Gothic MT" charset="0"/>
            </a:rPr>
            <a:t> </a:t>
          </a:r>
          <a:r>
            <a:rPr lang="en-US" sz="1000">
              <a:solidFill>
                <a:schemeClr val="bg2">
                  <a:lumMod val="25000"/>
                </a:schemeClr>
              </a:solidFill>
              <a:effectLst/>
              <a:latin typeface="News Gothic MT" charset="0"/>
              <a:ea typeface="News Gothic MT" charset="0"/>
              <a:cs typeface="News Gothic MT" charset="0"/>
            </a:rPr>
            <a:t>building a transfer station and transferring to a MRF, versus a building</a:t>
          </a:r>
          <a:r>
            <a:rPr lang="en-US" sz="1000" baseline="0">
              <a:solidFill>
                <a:schemeClr val="bg2">
                  <a:lumMod val="25000"/>
                </a:schemeClr>
              </a:solidFill>
              <a:effectLst/>
              <a:latin typeface="News Gothic MT" charset="0"/>
              <a:ea typeface="News Gothic MT" charset="0"/>
              <a:cs typeface="News Gothic MT" charset="0"/>
            </a:rPr>
            <a:t> a regional</a:t>
          </a:r>
          <a:r>
            <a:rPr lang="en-US" sz="1000">
              <a:solidFill>
                <a:schemeClr val="bg2">
                  <a:lumMod val="25000"/>
                </a:schemeClr>
              </a:solidFill>
              <a:effectLst/>
              <a:latin typeface="News Gothic MT" charset="0"/>
              <a:ea typeface="News Gothic MT" charset="0"/>
              <a:cs typeface="News Gothic MT" charset="0"/>
            </a:rPr>
            <a:t> MRF, either dual stream or single stream. The results also</a:t>
          </a:r>
          <a:r>
            <a:rPr lang="en-US" sz="1000" baseline="0">
              <a:solidFill>
                <a:schemeClr val="bg2">
                  <a:lumMod val="25000"/>
                </a:schemeClr>
              </a:solidFill>
              <a:effectLst/>
              <a:latin typeface="News Gothic MT" charset="0"/>
              <a:ea typeface="News Gothic MT" charset="0"/>
              <a:cs typeface="News Gothic MT" charset="0"/>
            </a:rPr>
            <a:t> allow the user to compare the impacts of Aerated Static Pile and Windrow compost systems, with or without food waste.</a:t>
          </a:r>
          <a:r>
            <a:rPr lang="en-US" sz="1000">
              <a:solidFill>
                <a:schemeClr val="bg2">
                  <a:lumMod val="25000"/>
                </a:schemeClr>
              </a:solidFill>
              <a:effectLst/>
              <a:latin typeface="News Gothic MT" charset="0"/>
              <a:ea typeface="News Gothic MT" charset="0"/>
              <a:cs typeface="News Gothic MT" charset="0"/>
            </a:rPr>
            <a:t> The following notes help define these outputs.  </a:t>
          </a:r>
        </a:p>
        <a:p>
          <a:endParaRPr lang="en-US" sz="1200" b="1">
            <a:solidFill>
              <a:srgbClr val="000000"/>
            </a:solidFill>
            <a:effectLst/>
            <a:latin typeface="News Gothic MT" charset="0"/>
            <a:ea typeface="News Gothic MT" charset="0"/>
            <a:cs typeface="News Gothic MT" charset="0"/>
          </a:endParaRPr>
        </a:p>
        <a:p>
          <a:pPr algn="l"/>
          <a:r>
            <a:rPr lang="en-US" sz="2400" b="1">
              <a:solidFill>
                <a:srgbClr val="009394"/>
              </a:solidFill>
              <a:effectLst/>
              <a:latin typeface="Gill Sans MT Condensed" panose="020B0506020104020203" pitchFamily="34" charset="0"/>
              <a:ea typeface="News Gothic MT" charset="0"/>
              <a:cs typeface="News Gothic MT" charset="0"/>
            </a:rPr>
            <a:t>OUTPUT</a:t>
          </a:r>
          <a:r>
            <a:rPr lang="en-US" sz="2400" b="1" baseline="0">
              <a:solidFill>
                <a:srgbClr val="009394"/>
              </a:solidFill>
              <a:effectLst/>
              <a:latin typeface="Gill Sans MT Condensed" panose="020B0506020104020203" pitchFamily="34" charset="0"/>
              <a:ea typeface="News Gothic MT" charset="0"/>
              <a:cs typeface="News Gothic MT" charset="0"/>
            </a:rPr>
            <a:t> DEFINITIONS</a:t>
          </a:r>
          <a:endParaRPr lang="en-US" sz="2400" b="1">
            <a:solidFill>
              <a:srgbClr val="009394"/>
            </a:solidFill>
            <a:effectLst/>
            <a:latin typeface="Gill Sans MT Condensed" panose="020B0506020104020203" pitchFamily="34" charset="0"/>
            <a:ea typeface="News Gothic MT" charset="0"/>
            <a:cs typeface="News Gothic MT" charset="0"/>
          </a:endParaRPr>
        </a:p>
        <a:p>
          <a:pPr lvl="0" algn="l"/>
          <a:r>
            <a:rPr lang="en-US" sz="1000" b="1">
              <a:solidFill>
                <a:schemeClr val="bg2">
                  <a:lumMod val="25000"/>
                </a:schemeClr>
              </a:solidFill>
              <a:effectLst/>
              <a:latin typeface="News Gothic MT" charset="0"/>
              <a:ea typeface="News Gothic MT" charset="0"/>
              <a:cs typeface="News Gothic MT" charset="0"/>
            </a:rPr>
            <a:t>1. Cost</a:t>
          </a:r>
          <a:r>
            <a:rPr lang="en-US" sz="1000" b="1" baseline="0">
              <a:solidFill>
                <a:schemeClr val="bg2">
                  <a:lumMod val="25000"/>
                </a:schemeClr>
              </a:solidFill>
              <a:effectLst/>
              <a:latin typeface="News Gothic MT" charset="0"/>
              <a:ea typeface="News Gothic MT" charset="0"/>
              <a:cs typeface="News Gothic MT" charset="0"/>
            </a:rPr>
            <a:t> per Ton Including Revenue</a:t>
          </a:r>
          <a:r>
            <a:rPr lang="en-US" sz="1000" b="1">
              <a:solidFill>
                <a:schemeClr val="bg2">
                  <a:lumMod val="25000"/>
                </a:schemeClr>
              </a:solidFill>
              <a:effectLst/>
              <a:latin typeface="News Gothic MT" charset="0"/>
              <a:ea typeface="News Gothic MT" charset="0"/>
              <a:cs typeface="News Gothic MT" charset="0"/>
            </a:rPr>
            <a:t>:</a:t>
          </a:r>
          <a:r>
            <a:rPr lang="en-US" sz="1000">
              <a:solidFill>
                <a:schemeClr val="bg2">
                  <a:lumMod val="25000"/>
                </a:schemeClr>
              </a:solidFill>
              <a:effectLst/>
              <a:latin typeface="News Gothic MT" charset="0"/>
              <a:ea typeface="News Gothic MT" charset="0"/>
              <a:cs typeface="News Gothic MT" charset="0"/>
            </a:rPr>
            <a:t> The</a:t>
          </a:r>
          <a:r>
            <a:rPr lang="en-US" sz="1000" baseline="0">
              <a:solidFill>
                <a:schemeClr val="bg2">
                  <a:lumMod val="25000"/>
                </a:schemeClr>
              </a:solidFill>
              <a:effectLst/>
              <a:latin typeface="News Gothic MT" charset="0"/>
              <a:ea typeface="News Gothic MT" charset="0"/>
              <a:cs typeface="News Gothic MT" charset="0"/>
            </a:rPr>
            <a:t> cost per ton of recyclables or organics collected to transport, build, operate, and maintain each option in the hub and spoke model. For direct haul, the costs include the additional time off-route for each truck to transport recyclables directly to a facility. The model takes into account contamination in the recycling/organics stream, based on the collection method. A 'NOT FEASIBLE' output indicates that there are not enough tons in the system to cost-effectively build a MRF or compost site. </a:t>
          </a:r>
          <a:endParaRPr lang="en-US" sz="1000">
            <a:solidFill>
              <a:schemeClr val="bg2">
                <a:lumMod val="25000"/>
              </a:schemeClr>
            </a:solidFill>
            <a:effectLst/>
            <a:latin typeface="News Gothic MT" charset="0"/>
            <a:ea typeface="News Gothic MT" charset="0"/>
            <a:cs typeface="News Gothic MT" charset="0"/>
          </a:endParaRPr>
        </a:p>
        <a:p>
          <a:pPr lvl="0" algn="l"/>
          <a:endParaRPr lang="en-US" sz="1000" b="1">
            <a:solidFill>
              <a:schemeClr val="bg2">
                <a:lumMod val="25000"/>
              </a:schemeClr>
            </a:solidFill>
            <a:effectLst/>
            <a:latin typeface="News Gothic MT" charset="0"/>
            <a:ea typeface="News Gothic MT" charset="0"/>
            <a:cs typeface="News Gothic MT" charset="0"/>
          </a:endParaRPr>
        </a:p>
        <a:p>
          <a:pPr lvl="0" algn="l"/>
          <a:r>
            <a:rPr lang="en-US" sz="1000" b="1">
              <a:solidFill>
                <a:schemeClr val="bg2">
                  <a:lumMod val="25000"/>
                </a:schemeClr>
              </a:solidFill>
              <a:effectLst/>
              <a:latin typeface="News Gothic MT" charset="0"/>
              <a:ea typeface="News Gothic MT" charset="0"/>
              <a:cs typeface="News Gothic MT" charset="0"/>
            </a:rPr>
            <a:t>2. Cost per Household per Year: </a:t>
          </a:r>
          <a:r>
            <a:rPr lang="en-US" sz="1000" b="0">
              <a:solidFill>
                <a:schemeClr val="bg2">
                  <a:lumMod val="25000"/>
                </a:schemeClr>
              </a:solidFill>
              <a:effectLst/>
              <a:latin typeface="News Gothic MT" charset="0"/>
              <a:ea typeface="News Gothic MT" charset="0"/>
              <a:cs typeface="News Gothic MT" charset="0"/>
            </a:rPr>
            <a:t>The</a:t>
          </a:r>
          <a:r>
            <a:rPr lang="en-US" sz="1000" b="0" baseline="0">
              <a:solidFill>
                <a:schemeClr val="bg2">
                  <a:lumMod val="25000"/>
                </a:schemeClr>
              </a:solidFill>
              <a:effectLst/>
              <a:latin typeface="News Gothic MT" charset="0"/>
              <a:ea typeface="News Gothic MT" charset="0"/>
              <a:cs typeface="News Gothic MT" charset="0"/>
            </a:rPr>
            <a:t> total annual costs divided by the total number of households in your community.</a:t>
          </a:r>
          <a:endParaRPr lang="en-US" sz="1000">
            <a:solidFill>
              <a:schemeClr val="bg2">
                <a:lumMod val="25000"/>
              </a:schemeClr>
            </a:solidFill>
            <a:effectLst/>
            <a:latin typeface="News Gothic MT" charset="0"/>
            <a:ea typeface="News Gothic MT" charset="0"/>
            <a:cs typeface="News Gothic MT" charset="0"/>
          </a:endParaRPr>
        </a:p>
        <a:p>
          <a:pPr lvl="0" algn="l"/>
          <a:endParaRPr lang="en-US" sz="1000" b="1">
            <a:solidFill>
              <a:schemeClr val="bg2">
                <a:lumMod val="25000"/>
              </a:schemeClr>
            </a:solidFill>
            <a:effectLst/>
            <a:latin typeface="News Gothic MT" charset="0"/>
            <a:ea typeface="News Gothic MT" charset="0"/>
            <a:cs typeface="News Gothic MT" charset="0"/>
          </a:endParaRPr>
        </a:p>
        <a:p>
          <a:pPr lvl="0" algn="l"/>
          <a:r>
            <a:rPr lang="en-US" sz="1000" b="1">
              <a:solidFill>
                <a:schemeClr val="bg2">
                  <a:lumMod val="25000"/>
                </a:schemeClr>
              </a:solidFill>
              <a:effectLst/>
              <a:latin typeface="News Gothic MT" charset="0"/>
              <a:ea typeface="News Gothic MT" charset="0"/>
              <a:cs typeface="News Gothic MT" charset="0"/>
            </a:rPr>
            <a:t>3. Annual Cost (Capital</a:t>
          </a:r>
          <a:r>
            <a:rPr lang="en-US" sz="1000" b="1" baseline="0">
              <a:solidFill>
                <a:schemeClr val="bg2">
                  <a:lumMod val="25000"/>
                </a:schemeClr>
              </a:solidFill>
              <a:effectLst/>
              <a:latin typeface="News Gothic MT" charset="0"/>
              <a:ea typeface="News Gothic MT" charset="0"/>
              <a:cs typeface="News Gothic MT" charset="0"/>
            </a:rPr>
            <a:t> + Operating</a:t>
          </a:r>
          <a:r>
            <a:rPr lang="en-US" sz="1000" b="1">
              <a:solidFill>
                <a:schemeClr val="bg2">
                  <a:lumMod val="25000"/>
                </a:schemeClr>
              </a:solidFill>
              <a:effectLst/>
              <a:latin typeface="News Gothic MT" charset="0"/>
              <a:ea typeface="News Gothic MT" charset="0"/>
              <a:cs typeface="News Gothic MT" charset="0"/>
            </a:rPr>
            <a:t>):</a:t>
          </a:r>
          <a:r>
            <a:rPr lang="en-US" sz="1000">
              <a:solidFill>
                <a:schemeClr val="bg2">
                  <a:lumMod val="25000"/>
                </a:schemeClr>
              </a:solidFill>
              <a:effectLst/>
              <a:latin typeface="News Gothic MT" charset="0"/>
              <a:ea typeface="News Gothic MT" charset="0"/>
              <a:cs typeface="News Gothic MT" charset="0"/>
            </a:rPr>
            <a:t> The</a:t>
          </a:r>
          <a:r>
            <a:rPr lang="en-US" sz="1000" baseline="0">
              <a:solidFill>
                <a:schemeClr val="bg2">
                  <a:lumMod val="25000"/>
                </a:schemeClr>
              </a:solidFill>
              <a:effectLst/>
              <a:latin typeface="News Gothic MT" charset="0"/>
              <a:ea typeface="News Gothic MT" charset="0"/>
              <a:cs typeface="News Gothic MT" charset="0"/>
            </a:rPr>
            <a:t> total annual cost, including amortized construction costs, loan payback plus interest, rolling stock, staff, insurance, operations, maintenance, fuel, MRF or compost site revenues or tip fees, and costs of contamination in the recycling or organics stream. The annual costs do not include costs for land purchase or reserves for capital replacement. The transfer station option utilizes third party hauling to truck material from the transfer station to the MRF.</a:t>
          </a:r>
          <a:endParaRPr lang="en-US" sz="1000">
            <a:solidFill>
              <a:schemeClr val="bg2">
                <a:lumMod val="25000"/>
              </a:schemeClr>
            </a:solidFill>
            <a:effectLst/>
            <a:latin typeface="News Gothic MT" charset="0"/>
            <a:ea typeface="News Gothic MT" charset="0"/>
            <a:cs typeface="News Gothic MT" charset="0"/>
          </a:endParaRPr>
        </a:p>
        <a:p>
          <a:pPr lvl="0" algn="l"/>
          <a:endParaRPr lang="en-US" sz="1000" b="1">
            <a:solidFill>
              <a:schemeClr val="bg2">
                <a:lumMod val="25000"/>
              </a:schemeClr>
            </a:solidFill>
            <a:effectLst/>
            <a:latin typeface="News Gothic MT" charset="0"/>
            <a:ea typeface="News Gothic MT" charset="0"/>
            <a:cs typeface="News Gothic MT" charset="0"/>
          </a:endParaRPr>
        </a:p>
        <a:p>
          <a:pPr lvl="0" algn="l"/>
          <a:r>
            <a:rPr lang="en-US" sz="1000" b="1" baseline="0">
              <a:solidFill>
                <a:schemeClr val="bg2">
                  <a:lumMod val="25000"/>
                </a:schemeClr>
              </a:solidFill>
              <a:effectLst/>
              <a:latin typeface="News Gothic MT" charset="0"/>
              <a:ea typeface="News Gothic MT" charset="0"/>
              <a:cs typeface="News Gothic MT" charset="0"/>
            </a:rPr>
            <a:t>4. Capital Cost (Total):</a:t>
          </a:r>
          <a:r>
            <a:rPr lang="en-US" sz="1000" baseline="0">
              <a:solidFill>
                <a:schemeClr val="bg2">
                  <a:lumMod val="25000"/>
                </a:schemeClr>
              </a:solidFill>
              <a:effectLst/>
              <a:latin typeface="News Gothic MT" charset="0"/>
              <a:ea typeface="News Gothic MT" charset="0"/>
              <a:cs typeface="News Gothic MT" charset="0"/>
            </a:rPr>
            <a:t> The total cost for all capital equipment.</a:t>
          </a:r>
        </a:p>
        <a:p>
          <a:pPr lvl="0" algn="l"/>
          <a:endParaRPr lang="en-US" sz="1000" b="1">
            <a:solidFill>
              <a:sysClr val="windowText" lastClr="000000"/>
            </a:solidFill>
            <a:effectLst/>
            <a:latin typeface="News Gothic MT" charset="0"/>
            <a:ea typeface="News Gothic MT" charset="0"/>
            <a:cs typeface="News Gothic MT" charset="0"/>
          </a:endParaRPr>
        </a:p>
        <a:p>
          <a:r>
            <a:rPr lang="en-US" sz="2000" b="1">
              <a:solidFill>
                <a:srgbClr val="006666"/>
              </a:solidFill>
              <a:effectLst/>
              <a:latin typeface="Gill Sans MT Condensed" panose="020B0506020104020203" pitchFamily="34" charset="0"/>
              <a:ea typeface="+mn-ea"/>
              <a:cs typeface="Arial" panose="020B0604020202020204" pitchFamily="34" charset="0"/>
            </a:rPr>
            <a:t>DETAILED DESCRIPTIONS OF PROGRAMS</a:t>
          </a:r>
          <a:endParaRPr lang="en-US" sz="2000">
            <a:solidFill>
              <a:srgbClr val="006666"/>
            </a:solidFill>
            <a:effectLst/>
            <a:latin typeface="Gill Sans MT Condensed" panose="020B0506020104020203" pitchFamily="34" charset="0"/>
            <a:cs typeface="Arial" panose="020B0604020202020204" pitchFamily="34" charset="0"/>
          </a:endParaRPr>
        </a:p>
        <a:p>
          <a:r>
            <a:rPr lang="en-US" sz="1800" b="1">
              <a:solidFill>
                <a:srgbClr val="92D050"/>
              </a:solidFill>
              <a:effectLst/>
              <a:latin typeface="Gill Sans MT Condensed" panose="020B0506020104020203" pitchFamily="34" charset="0"/>
              <a:ea typeface="+mn-ea"/>
              <a:cs typeface="Arial" panose="020B0604020202020204" pitchFamily="34" charset="0"/>
            </a:rPr>
            <a:t>Recyclables</a:t>
          </a:r>
          <a:r>
            <a:rPr lang="en-US" sz="1800" b="1" baseline="0">
              <a:solidFill>
                <a:srgbClr val="92D050"/>
              </a:solidFill>
              <a:effectLst/>
              <a:latin typeface="Gill Sans MT Condensed" panose="020B0506020104020203" pitchFamily="34" charset="0"/>
              <a:ea typeface="+mn-ea"/>
              <a:cs typeface="Arial" panose="020B0604020202020204" pitchFamily="34" charset="0"/>
            </a:rPr>
            <a:t> Transfer Station and MRF Costs</a:t>
          </a:r>
          <a:endParaRPr lang="en-US" sz="1800">
            <a:solidFill>
              <a:srgbClr val="92D050"/>
            </a:solidFill>
            <a:effectLst/>
            <a:latin typeface="Gill Sans MT Condensed" panose="020B0506020104020203" pitchFamily="34" charset="0"/>
            <a:cs typeface="Arial" panose="020B0604020202020204" pitchFamily="34" charset="0"/>
          </a:endParaRPr>
        </a:p>
        <a:p>
          <a:pPr lvl="0" algn="l"/>
          <a:endParaRPr lang="en-US" sz="1000">
            <a:solidFill>
              <a:sysClr val="windowText" lastClr="000000"/>
            </a:solidFill>
            <a:effectLst/>
            <a:latin typeface="Arial" panose="020B0604020202020204" pitchFamily="34" charset="0"/>
            <a:ea typeface="News Gothic MT" charset="0"/>
            <a:cs typeface="Arial" panose="020B0604020202020204" pitchFamily="34" charset="0"/>
          </a:endParaRPr>
        </a:p>
        <a:p>
          <a:pPr eaLnBrk="1" fontAlgn="auto" latinLnBrk="0" hangingPunct="1"/>
          <a:r>
            <a:rPr lang="en-US" sz="1000">
              <a:solidFill>
                <a:schemeClr val="bg2">
                  <a:lumMod val="25000"/>
                </a:schemeClr>
              </a:solidFill>
              <a:effectLst/>
              <a:latin typeface="News Gothic MT" panose="020B0504020203020204" pitchFamily="34" charset="0"/>
              <a:ea typeface="+mn-ea"/>
              <a:cs typeface="Arial" panose="020B0604020202020204" pitchFamily="34" charset="0"/>
            </a:rPr>
            <a:t>In</a:t>
          </a:r>
          <a:r>
            <a:rPr lang="en-US" sz="1000" baseline="0">
              <a:solidFill>
                <a:schemeClr val="bg2">
                  <a:lumMod val="25000"/>
                </a:schemeClr>
              </a:solidFill>
              <a:effectLst/>
              <a:latin typeface="News Gothic MT" panose="020B0504020203020204" pitchFamily="34" charset="0"/>
              <a:ea typeface="+mn-ea"/>
              <a:cs typeface="Arial" panose="020B0604020202020204" pitchFamily="34" charset="0"/>
            </a:rPr>
            <a:t> a Hub and Spoke system, the transfer stations are the 'spokes' of the wheel, and the MRFs are the 'hubs'.  </a:t>
          </a:r>
          <a:r>
            <a:rPr lang="en-US" sz="1000">
              <a:solidFill>
                <a:schemeClr val="bg2">
                  <a:lumMod val="25000"/>
                </a:schemeClr>
              </a:solidFill>
              <a:effectLst/>
              <a:latin typeface="News Gothic MT" panose="020B0504020203020204" pitchFamily="34" charset="0"/>
              <a:ea typeface="+mn-ea"/>
              <a:cs typeface="Arial" panose="020B0604020202020204" pitchFamily="34" charset="0"/>
            </a:rPr>
            <a:t>The Hub &amp;</a:t>
          </a:r>
          <a:r>
            <a:rPr lang="en-US" sz="1000" baseline="0">
              <a:solidFill>
                <a:schemeClr val="bg2">
                  <a:lumMod val="25000"/>
                </a:schemeClr>
              </a:solidFill>
              <a:effectLst/>
              <a:latin typeface="News Gothic MT" panose="020B0504020203020204" pitchFamily="34" charset="0"/>
              <a:ea typeface="+mn-ea"/>
              <a:cs typeface="Arial" panose="020B0604020202020204" pitchFamily="34" charset="0"/>
            </a:rPr>
            <a:t> Spoke</a:t>
          </a:r>
          <a:r>
            <a:rPr lang="en-US" sz="1000">
              <a:solidFill>
                <a:schemeClr val="bg2">
                  <a:lumMod val="25000"/>
                </a:schemeClr>
              </a:solidFill>
              <a:effectLst/>
              <a:latin typeface="News Gothic MT" panose="020B0504020203020204" pitchFamily="34" charset="0"/>
              <a:ea typeface="+mn-ea"/>
              <a:cs typeface="Arial" panose="020B0604020202020204" pitchFamily="34" charset="0"/>
            </a:rPr>
            <a:t> Model is based on an assumption that a</a:t>
          </a:r>
          <a:r>
            <a:rPr lang="en-US" sz="1000" baseline="0">
              <a:solidFill>
                <a:schemeClr val="bg2">
                  <a:lumMod val="25000"/>
                </a:schemeClr>
              </a:solidFill>
              <a:effectLst/>
              <a:latin typeface="News Gothic MT" panose="020B0504020203020204" pitchFamily="34" charset="0"/>
              <a:ea typeface="+mn-ea"/>
              <a:cs typeface="Arial" panose="020B0604020202020204" pitchFamily="34" charset="0"/>
            </a:rPr>
            <a:t> community is</a:t>
          </a:r>
          <a:r>
            <a:rPr lang="en-US" sz="1000">
              <a:solidFill>
                <a:schemeClr val="bg2">
                  <a:lumMod val="25000"/>
                </a:schemeClr>
              </a:solidFill>
              <a:effectLst/>
              <a:latin typeface="News Gothic MT" panose="020B0504020203020204" pitchFamily="34" charset="0"/>
              <a:ea typeface="+mn-ea"/>
              <a:cs typeface="Arial" panose="020B0604020202020204" pitchFamily="34" charset="0"/>
            </a:rPr>
            <a:t> choosing between</a:t>
          </a:r>
          <a:r>
            <a:rPr lang="en-US" sz="1000" baseline="0">
              <a:solidFill>
                <a:schemeClr val="bg2">
                  <a:lumMod val="25000"/>
                </a:schemeClr>
              </a:solidFill>
              <a:effectLst/>
              <a:latin typeface="News Gothic MT" panose="020B0504020203020204" pitchFamily="34" charset="0"/>
              <a:ea typeface="+mn-ea"/>
              <a:cs typeface="Arial" panose="020B0604020202020204" pitchFamily="34" charset="0"/>
            </a:rPr>
            <a:t> the direct haul of recyclable material to a processor versus developing a new hub (MRF) versus a new spoke (transfer station). When the total quantity of material is great enough to justify the development of a MRF, the model allows the user to compare the cost of direct haul to the costs of transfer to the cost of building a new greenfield MRF. In order to reach the level of cost efficiency where building a transfer station or a MRF makes economic sense, it is likely that multiple communities may need to work together to consolidate their tons of recyclables.</a:t>
          </a:r>
          <a:endParaRPr lang="en-US" sz="1000">
            <a:solidFill>
              <a:schemeClr val="bg2">
                <a:lumMod val="25000"/>
              </a:schemeClr>
            </a:solidFill>
            <a:effectLst/>
            <a:latin typeface="News Gothic MT" panose="020B0504020203020204" pitchFamily="34" charset="0"/>
            <a:cs typeface="Arial" panose="020B0604020202020204" pitchFamily="34" charset="0"/>
          </a:endParaRPr>
        </a:p>
        <a:p>
          <a:pPr eaLnBrk="1" fontAlgn="auto" latinLnBrk="0" hangingPunct="1"/>
          <a:endParaRPr lang="en-US" sz="1000">
            <a:solidFill>
              <a:schemeClr val="bg2">
                <a:lumMod val="25000"/>
              </a:schemeClr>
            </a:solidFill>
            <a:effectLst/>
            <a:latin typeface="News Gothic MT" panose="020B0504020203020204" pitchFamily="34" charset="0"/>
            <a:ea typeface="+mn-ea"/>
            <a:cs typeface="Arial" panose="020B0604020202020204" pitchFamily="34" charset="0"/>
          </a:endParaRPr>
        </a:p>
        <a:p>
          <a:pPr eaLnBrk="1" fontAlgn="auto" latinLnBrk="0" hangingPunct="1"/>
          <a:r>
            <a:rPr lang="en-US" sz="1000">
              <a:solidFill>
                <a:schemeClr val="bg2">
                  <a:lumMod val="25000"/>
                </a:schemeClr>
              </a:solidFill>
              <a:effectLst/>
              <a:latin typeface="News Gothic MT" panose="020B0504020203020204" pitchFamily="34" charset="0"/>
              <a:ea typeface="+mn-ea"/>
              <a:cs typeface="Arial" panose="020B0604020202020204" pitchFamily="34" charset="0"/>
            </a:rPr>
            <a:t>The costs / revenues of the recyclables collected are included in this Hub and Spoke model and are assumed in the recycling tip fee paid at an existing facility. </a:t>
          </a:r>
          <a:r>
            <a:rPr lang="en-US" sz="1000" baseline="0">
              <a:solidFill>
                <a:schemeClr val="bg2">
                  <a:lumMod val="25000"/>
                </a:schemeClr>
              </a:solidFill>
              <a:effectLst/>
              <a:latin typeface="News Gothic MT" panose="020B0504020203020204" pitchFamily="34" charset="0"/>
              <a:ea typeface="+mn-ea"/>
              <a:cs typeface="Arial" panose="020B0604020202020204" pitchFamily="34" charset="0"/>
            </a:rPr>
            <a:t>When the tonnage of recyclables exceeds 10,500 tons the MRF costs will be presented and can be compared to the  costs of transfer to make a determination of the most viable program approach for processing recyclable materials. </a:t>
          </a:r>
          <a:r>
            <a:rPr lang="en-CA" sz="1000">
              <a:solidFill>
                <a:schemeClr val="bg2">
                  <a:lumMod val="25000"/>
                </a:schemeClr>
              </a:solidFill>
              <a:effectLst/>
              <a:latin typeface="News Gothic MT" panose="020B0504020203020204" pitchFamily="34" charset="0"/>
              <a:ea typeface="+mn-ea"/>
              <a:cs typeface="Arial" panose="020B0604020202020204" pitchFamily="34" charset="0"/>
            </a:rPr>
            <a:t>The various systems trade off capital and operating costs, site requirements and convenience, and long-haul shipping efficiencies.  Each of these technologies can be configured and used in multiple ways, so a choice of the appropriate system should not be made solely</a:t>
          </a:r>
          <a:r>
            <a:rPr lang="en-CA" sz="1000" baseline="0">
              <a:solidFill>
                <a:schemeClr val="bg2">
                  <a:lumMod val="25000"/>
                </a:schemeClr>
              </a:solidFill>
              <a:effectLst/>
              <a:latin typeface="News Gothic MT" panose="020B0504020203020204" pitchFamily="34" charset="0"/>
              <a:ea typeface="+mn-ea"/>
              <a:cs typeface="Arial" panose="020B0604020202020204" pitchFamily="34" charset="0"/>
            </a:rPr>
            <a:t> </a:t>
          </a:r>
          <a:r>
            <a:rPr lang="en-CA" sz="1000">
              <a:solidFill>
                <a:schemeClr val="bg2">
                  <a:lumMod val="25000"/>
                </a:schemeClr>
              </a:solidFill>
              <a:effectLst/>
              <a:latin typeface="News Gothic MT" panose="020B0504020203020204" pitchFamily="34" charset="0"/>
              <a:ea typeface="+mn-ea"/>
              <a:cs typeface="Arial" panose="020B0604020202020204" pitchFamily="34" charset="0"/>
            </a:rPr>
            <a:t>from the information presented here. While the net cost impact of selected technology for each small transfer station is nearly negligible compared to the overall system cost, making the best choice is important to the performance of the affected local recycling collection systems. Detailed consideration of the appropriate technology is needed before any final technology decision is made.</a:t>
          </a:r>
          <a:r>
            <a:rPr lang="en-US" sz="1000">
              <a:solidFill>
                <a:schemeClr val="bg2">
                  <a:lumMod val="25000"/>
                </a:schemeClr>
              </a:solidFill>
              <a:effectLst/>
              <a:latin typeface="News Gothic MT" panose="020B0504020203020204" pitchFamily="34" charset="0"/>
              <a:ea typeface="+mn-ea"/>
              <a:cs typeface="Arial" panose="020B0604020202020204" pitchFamily="34" charset="0"/>
            </a:rPr>
            <a:t> </a:t>
          </a:r>
          <a:endParaRPr lang="en-US" sz="1000">
            <a:solidFill>
              <a:schemeClr val="bg2">
                <a:lumMod val="25000"/>
              </a:schemeClr>
            </a:solidFill>
            <a:effectLst/>
            <a:latin typeface="News Gothic MT" panose="020B0504020203020204" pitchFamily="34" charset="0"/>
            <a:cs typeface="Arial" panose="020B0604020202020204" pitchFamily="34" charset="0"/>
          </a:endParaRPr>
        </a:p>
        <a:p>
          <a:endParaRPr lang="en-US" sz="1000" b="0">
            <a:solidFill>
              <a:schemeClr val="bg2">
                <a:lumMod val="25000"/>
              </a:schemeClr>
            </a:solidFill>
            <a:effectLst/>
            <a:latin typeface="News Gothic MT" panose="020B0504020203020204" pitchFamily="34" charset="0"/>
            <a:ea typeface="+mn-ea"/>
            <a:cs typeface="Arial" panose="020B0604020202020204" pitchFamily="34" charset="0"/>
          </a:endParaRPr>
        </a:p>
        <a:p>
          <a:r>
            <a:rPr lang="en-US" sz="1000" b="0">
              <a:solidFill>
                <a:schemeClr val="bg2">
                  <a:lumMod val="25000"/>
                </a:schemeClr>
              </a:solidFill>
              <a:effectLst/>
              <a:latin typeface="News Gothic MT" panose="020B0504020203020204" pitchFamily="34" charset="0"/>
              <a:ea typeface="+mn-ea"/>
              <a:cs typeface="Arial" panose="020B0604020202020204" pitchFamily="34" charset="0"/>
            </a:rPr>
            <a:t>The transfer</a:t>
          </a:r>
          <a:r>
            <a:rPr lang="en-US" sz="1000" b="0" baseline="0">
              <a:solidFill>
                <a:schemeClr val="bg2">
                  <a:lumMod val="25000"/>
                </a:schemeClr>
              </a:solidFill>
              <a:effectLst/>
              <a:latin typeface="News Gothic MT" panose="020B0504020203020204" pitchFamily="34" charset="0"/>
              <a:ea typeface="+mn-ea"/>
              <a:cs typeface="Arial" panose="020B0604020202020204" pitchFamily="34" charset="0"/>
            </a:rPr>
            <a:t> station costs are the cost of buildings, equipment, rolling stock and land improvements. This also includes the following operational costs: employee costs, fringe benefits, administration, other non-staff operations and maintenance charges and insurance. </a:t>
          </a:r>
          <a:r>
            <a:rPr lang="en-CA" sz="1000" b="0" baseline="0">
              <a:solidFill>
                <a:schemeClr val="bg2">
                  <a:lumMod val="25000"/>
                </a:schemeClr>
              </a:solidFill>
              <a:effectLst/>
              <a:latin typeface="News Gothic MT" panose="020B0504020203020204" pitchFamily="34" charset="0"/>
              <a:ea typeface="+mn-ea"/>
              <a:cs typeface="Arial" panose="020B0604020202020204" pitchFamily="34" charset="0"/>
            </a:rPr>
            <a:t>T</a:t>
          </a:r>
          <a:r>
            <a:rPr lang="en-CA" sz="1000">
              <a:solidFill>
                <a:schemeClr val="bg2">
                  <a:lumMod val="25000"/>
                </a:schemeClr>
              </a:solidFill>
              <a:effectLst/>
              <a:latin typeface="News Gothic MT" panose="020B0504020203020204" pitchFamily="34" charset="0"/>
              <a:ea typeface="+mn-ea"/>
              <a:cs typeface="Arial" panose="020B0604020202020204" pitchFamily="34" charset="0"/>
            </a:rPr>
            <a:t>he model</a:t>
          </a:r>
          <a:r>
            <a:rPr lang="en-CA" sz="1000" baseline="0">
              <a:solidFill>
                <a:schemeClr val="bg2">
                  <a:lumMod val="25000"/>
                </a:schemeClr>
              </a:solidFill>
              <a:effectLst/>
              <a:latin typeface="News Gothic MT" panose="020B0504020203020204" pitchFamily="34" charset="0"/>
              <a:ea typeface="+mn-ea"/>
              <a:cs typeface="Arial" panose="020B0604020202020204" pitchFamily="34" charset="0"/>
            </a:rPr>
            <a:t> uses</a:t>
          </a:r>
          <a:r>
            <a:rPr lang="en-CA" sz="1000">
              <a:solidFill>
                <a:schemeClr val="bg2">
                  <a:lumMod val="25000"/>
                </a:schemeClr>
              </a:solidFill>
              <a:effectLst/>
              <a:latin typeface="News Gothic MT" panose="020B0504020203020204" pitchFamily="34" charset="0"/>
              <a:ea typeface="+mn-ea"/>
              <a:cs typeface="Arial" panose="020B0604020202020204" pitchFamily="34" charset="0"/>
            </a:rPr>
            <a:t> three different transfer station sizes. Each one is designed to serve a local area. They are:</a:t>
          </a:r>
          <a:endParaRPr lang="en-US" sz="1000">
            <a:solidFill>
              <a:schemeClr val="bg2">
                <a:lumMod val="25000"/>
              </a:schemeClr>
            </a:solidFill>
            <a:effectLst/>
            <a:latin typeface="News Gothic MT" panose="020B0504020203020204" pitchFamily="34" charset="0"/>
            <a:cs typeface="Arial" panose="020B0604020202020204" pitchFamily="34" charset="0"/>
          </a:endParaRPr>
        </a:p>
        <a:p>
          <a:r>
            <a:rPr lang="en-CA" sz="1000" b="1">
              <a:solidFill>
                <a:schemeClr val="bg2">
                  <a:lumMod val="25000"/>
                </a:schemeClr>
              </a:solidFill>
              <a:effectLst/>
              <a:latin typeface="News Gothic MT" panose="020B0504020203020204" pitchFamily="34" charset="0"/>
              <a:ea typeface="+mn-ea"/>
              <a:cs typeface="Arial" panose="020B0604020202020204" pitchFamily="34" charset="0"/>
            </a:rPr>
            <a:t>       Small:</a:t>
          </a:r>
          <a:r>
            <a:rPr lang="en-CA" sz="1000">
              <a:solidFill>
                <a:schemeClr val="bg2">
                  <a:lumMod val="25000"/>
                </a:schemeClr>
              </a:solidFill>
              <a:effectLst/>
              <a:latin typeface="News Gothic MT" panose="020B0504020203020204" pitchFamily="34" charset="0"/>
              <a:ea typeface="+mn-ea"/>
              <a:cs typeface="Arial" panose="020B0604020202020204" pitchFamily="34" charset="0"/>
            </a:rPr>
            <a:t> Design capacity 2,500 tons per year</a:t>
          </a:r>
          <a:endParaRPr lang="en-US" sz="1000">
            <a:solidFill>
              <a:schemeClr val="bg2">
                <a:lumMod val="25000"/>
              </a:schemeClr>
            </a:solidFill>
            <a:effectLst/>
            <a:latin typeface="News Gothic MT" panose="020B0504020203020204" pitchFamily="34" charset="0"/>
            <a:cs typeface="Arial" panose="020B0604020202020204" pitchFamily="34" charset="0"/>
          </a:endParaRPr>
        </a:p>
        <a:p>
          <a:r>
            <a:rPr lang="en-CA" sz="1000" b="1">
              <a:solidFill>
                <a:schemeClr val="bg2">
                  <a:lumMod val="25000"/>
                </a:schemeClr>
              </a:solidFill>
              <a:effectLst/>
              <a:latin typeface="News Gothic MT" panose="020B0504020203020204" pitchFamily="34" charset="0"/>
              <a:ea typeface="+mn-ea"/>
              <a:cs typeface="Arial" panose="020B0604020202020204" pitchFamily="34" charset="0"/>
            </a:rPr>
            <a:t>       Medium</a:t>
          </a:r>
          <a:r>
            <a:rPr lang="en-CA" sz="1000">
              <a:solidFill>
                <a:schemeClr val="bg2">
                  <a:lumMod val="25000"/>
                </a:schemeClr>
              </a:solidFill>
              <a:effectLst/>
              <a:latin typeface="News Gothic MT" panose="020B0504020203020204" pitchFamily="34" charset="0"/>
              <a:ea typeface="+mn-ea"/>
              <a:cs typeface="Arial" panose="020B0604020202020204" pitchFamily="34" charset="0"/>
            </a:rPr>
            <a:t>: Design capacity 10,000 tons per year</a:t>
          </a:r>
          <a:endParaRPr lang="en-US" sz="1000">
            <a:solidFill>
              <a:schemeClr val="bg2">
                <a:lumMod val="25000"/>
              </a:schemeClr>
            </a:solidFill>
            <a:effectLst/>
            <a:latin typeface="News Gothic MT" panose="020B0504020203020204" pitchFamily="34" charset="0"/>
            <a:cs typeface="Arial" panose="020B0604020202020204" pitchFamily="34" charset="0"/>
          </a:endParaRPr>
        </a:p>
        <a:p>
          <a:r>
            <a:rPr lang="en-CA" sz="1000" b="1">
              <a:solidFill>
                <a:schemeClr val="bg2">
                  <a:lumMod val="25000"/>
                </a:schemeClr>
              </a:solidFill>
              <a:effectLst/>
              <a:latin typeface="News Gothic MT" panose="020B0504020203020204" pitchFamily="34" charset="0"/>
              <a:ea typeface="+mn-ea"/>
              <a:cs typeface="Arial" panose="020B0604020202020204" pitchFamily="34" charset="0"/>
            </a:rPr>
            <a:t>       Large: </a:t>
          </a:r>
          <a:r>
            <a:rPr lang="en-CA" sz="1000">
              <a:solidFill>
                <a:schemeClr val="bg2">
                  <a:lumMod val="25000"/>
                </a:schemeClr>
              </a:solidFill>
              <a:effectLst/>
              <a:latin typeface="News Gothic MT" panose="020B0504020203020204" pitchFamily="34" charset="0"/>
              <a:ea typeface="+mn-ea"/>
              <a:cs typeface="Arial" panose="020B0604020202020204" pitchFamily="34" charset="0"/>
            </a:rPr>
            <a:t>Design capacity 52,000 tons per year</a:t>
          </a:r>
          <a:endParaRPr lang="en-US" sz="1000">
            <a:solidFill>
              <a:schemeClr val="bg2">
                <a:lumMod val="25000"/>
              </a:schemeClr>
            </a:solidFill>
            <a:effectLst/>
            <a:latin typeface="News Gothic MT" panose="020B0504020203020204" pitchFamily="34" charset="0"/>
            <a:cs typeface="Arial" panose="020B0604020202020204" pitchFamily="34" charset="0"/>
          </a:endParaRPr>
        </a:p>
        <a:p>
          <a:pPr eaLnBrk="1" fontAlgn="auto" latinLnBrk="0" hangingPunct="1"/>
          <a:endParaRPr lang="en-CA" sz="1000">
            <a:solidFill>
              <a:schemeClr val="bg2">
                <a:lumMod val="25000"/>
              </a:schemeClr>
            </a:solidFill>
            <a:effectLst/>
            <a:latin typeface="News Gothic MT" panose="020B0504020203020204" pitchFamily="34" charset="0"/>
            <a:ea typeface="+mn-ea"/>
            <a:cs typeface="Arial" panose="020B0604020202020204" pitchFamily="34" charset="0"/>
          </a:endParaRPr>
        </a:p>
        <a:p>
          <a:pPr eaLnBrk="1" fontAlgn="auto" latinLnBrk="0" hangingPunct="1"/>
          <a:r>
            <a:rPr lang="en-CA" sz="1000">
              <a:solidFill>
                <a:schemeClr val="bg2">
                  <a:lumMod val="25000"/>
                </a:schemeClr>
              </a:solidFill>
              <a:effectLst/>
              <a:latin typeface="News Gothic MT" panose="020B0504020203020204" pitchFamily="34" charset="0"/>
              <a:ea typeface="+mn-ea"/>
              <a:cs typeface="Arial" panose="020B0604020202020204" pitchFamily="34" charset="0"/>
            </a:rPr>
            <a:t>Due to the large cost difference and tonnage range between the medium and large transfer facilities, the</a:t>
          </a:r>
          <a:r>
            <a:rPr lang="en-CA" sz="1000" baseline="0">
              <a:solidFill>
                <a:schemeClr val="bg2">
                  <a:lumMod val="25000"/>
                </a:schemeClr>
              </a:solidFill>
              <a:effectLst/>
              <a:latin typeface="News Gothic MT" panose="020B0504020203020204" pitchFamily="34" charset="0"/>
              <a:ea typeface="+mn-ea"/>
              <a:cs typeface="Arial" panose="020B0604020202020204" pitchFamily="34" charset="0"/>
            </a:rPr>
            <a:t> model utilizes a cost </a:t>
          </a:r>
          <a:r>
            <a:rPr lang="en-CA" sz="1000">
              <a:solidFill>
                <a:schemeClr val="bg2">
                  <a:lumMod val="25000"/>
                </a:schemeClr>
              </a:solidFill>
              <a:effectLst/>
              <a:latin typeface="News Gothic MT" panose="020B0504020203020204" pitchFamily="34" charset="0"/>
              <a:ea typeface="+mn-ea"/>
              <a:cs typeface="Arial" panose="020B0604020202020204" pitchFamily="34" charset="0"/>
            </a:rPr>
            <a:t>curve to estimate the operating cost. </a:t>
          </a:r>
          <a:r>
            <a:rPr lang="en-US" sz="1000" baseline="0">
              <a:solidFill>
                <a:schemeClr val="bg2">
                  <a:lumMod val="25000"/>
                </a:schemeClr>
              </a:solidFill>
              <a:effectLst/>
              <a:latin typeface="News Gothic MT" panose="020B0504020203020204" pitchFamily="34" charset="0"/>
              <a:ea typeface="+mn-ea"/>
              <a:cs typeface="Arial" panose="020B0604020202020204" pitchFamily="34" charset="0"/>
            </a:rPr>
            <a:t>The transfer of recyclable materials assumes that there is available throughput in existing regional MRFs. </a:t>
          </a:r>
          <a:r>
            <a:rPr lang="en-US" sz="1000">
              <a:solidFill>
                <a:schemeClr val="bg2">
                  <a:lumMod val="25000"/>
                </a:schemeClr>
              </a:solidFill>
              <a:effectLst/>
              <a:latin typeface="News Gothic MT" panose="020B0504020203020204" pitchFamily="34" charset="0"/>
              <a:ea typeface="+mn-ea"/>
              <a:cs typeface="Arial" panose="020B0604020202020204" pitchFamily="34" charset="0"/>
            </a:rPr>
            <a:t>A Material Recovery Facility is not considered unless the total tonnage exceeds 10,500 tons per year</a:t>
          </a:r>
          <a:r>
            <a:rPr lang="en-US" sz="1000" baseline="0">
              <a:solidFill>
                <a:schemeClr val="bg2">
                  <a:lumMod val="25000"/>
                </a:schemeClr>
              </a:solidFill>
              <a:effectLst/>
              <a:latin typeface="News Gothic MT" panose="020B0504020203020204" pitchFamily="34" charset="0"/>
              <a:ea typeface="+mn-ea"/>
              <a:cs typeface="Arial" panose="020B0604020202020204" pitchFamily="34" charset="0"/>
            </a:rPr>
            <a:t> for dual stream, 22,500 tons per year for single stream (minimum level is </a:t>
          </a:r>
          <a:r>
            <a:rPr lang="en-US" sz="1000">
              <a:solidFill>
                <a:schemeClr val="bg2">
                  <a:lumMod val="25000"/>
                </a:schemeClr>
              </a:solidFill>
              <a:effectLst/>
              <a:latin typeface="News Gothic MT" panose="020B0504020203020204" pitchFamily="34" charset="0"/>
              <a:ea typeface="+mn-ea"/>
              <a:cs typeface="Arial" panose="020B0604020202020204" pitchFamily="34" charset="0"/>
            </a:rPr>
            <a:t>asked on the minimum throughput capabilities of current</a:t>
          </a:r>
          <a:r>
            <a:rPr lang="en-US" sz="1000" baseline="0">
              <a:solidFill>
                <a:schemeClr val="bg2">
                  <a:lumMod val="25000"/>
                </a:schemeClr>
              </a:solidFill>
              <a:effectLst/>
              <a:latin typeface="News Gothic MT" panose="020B0504020203020204" pitchFamily="34" charset="0"/>
              <a:ea typeface="+mn-ea"/>
              <a:cs typeface="Arial" panose="020B0604020202020204" pitchFamily="34" charset="0"/>
            </a:rPr>
            <a:t> technology).</a:t>
          </a:r>
          <a:r>
            <a:rPr lang="en-US" sz="1000">
              <a:solidFill>
                <a:schemeClr val="bg2">
                  <a:lumMod val="25000"/>
                </a:schemeClr>
              </a:solidFill>
              <a:effectLst/>
              <a:latin typeface="News Gothic MT" panose="020B0504020203020204" pitchFamily="34" charset="0"/>
              <a:ea typeface="+mn-ea"/>
              <a:cs typeface="Arial" panose="020B0604020202020204" pitchFamily="34" charset="0"/>
            </a:rPr>
            <a:t> Material</a:t>
          </a:r>
          <a:r>
            <a:rPr lang="en-US" sz="1000" baseline="0">
              <a:solidFill>
                <a:schemeClr val="bg2">
                  <a:lumMod val="25000"/>
                </a:schemeClr>
              </a:solidFill>
              <a:effectLst/>
              <a:latin typeface="News Gothic MT" panose="020B0504020203020204" pitchFamily="34" charset="0"/>
              <a:ea typeface="+mn-ea"/>
              <a:cs typeface="Arial" panose="020B0604020202020204" pitchFamily="34" charset="0"/>
            </a:rPr>
            <a:t>s collected dual stream can be processed at a single stream MRF, materials collected single stream cannot go to a dual stream facility.</a:t>
          </a:r>
          <a:endParaRPr lang="en-US" sz="1000">
            <a:solidFill>
              <a:schemeClr val="bg2">
                <a:lumMod val="25000"/>
              </a:schemeClr>
            </a:solidFill>
            <a:effectLst/>
            <a:latin typeface="News Gothic MT" panose="020B0504020203020204" pitchFamily="34" charset="0"/>
            <a:ea typeface="+mn-ea"/>
            <a:cs typeface="Arial" panose="020B0604020202020204" pitchFamily="34" charset="0"/>
          </a:endParaRPr>
        </a:p>
        <a:p>
          <a:pPr eaLnBrk="1" fontAlgn="auto" latinLnBrk="0" hangingPunct="1"/>
          <a:endParaRPr lang="en-US" sz="1000">
            <a:solidFill>
              <a:schemeClr val="bg2">
                <a:lumMod val="25000"/>
              </a:schemeClr>
            </a:solidFill>
            <a:effectLst/>
            <a:latin typeface="News Gothic MT" panose="020B0504020203020204" pitchFamily="34" charset="0"/>
            <a:cs typeface="Arial" panose="020B0604020202020204" pitchFamily="34" charset="0"/>
          </a:endParaRPr>
        </a:p>
        <a:p>
          <a:pPr eaLnBrk="1" fontAlgn="auto" latinLnBrk="0" hangingPunct="1"/>
          <a:r>
            <a:rPr lang="en-US" sz="1000">
              <a:solidFill>
                <a:schemeClr val="bg2">
                  <a:lumMod val="25000"/>
                </a:schemeClr>
              </a:solidFill>
              <a:effectLst/>
              <a:latin typeface="News Gothic MT" panose="020B0504020203020204" pitchFamily="34" charset="0"/>
              <a:ea typeface="+mn-ea"/>
              <a:cs typeface="Arial" panose="020B0604020202020204" pitchFamily="34" charset="0"/>
            </a:rPr>
            <a:t>The costs of a MRF are</a:t>
          </a:r>
          <a:r>
            <a:rPr lang="en-US" sz="1000" baseline="0">
              <a:solidFill>
                <a:schemeClr val="bg2">
                  <a:lumMod val="25000"/>
                </a:schemeClr>
              </a:solidFill>
              <a:effectLst/>
              <a:latin typeface="News Gothic MT" panose="020B0504020203020204" pitchFamily="34" charset="0"/>
              <a:ea typeface="+mn-ea"/>
              <a:cs typeface="Arial" panose="020B0604020202020204" pitchFamily="34" charset="0"/>
            </a:rPr>
            <a:t> scaled based on the total tonnage and one of 11 types of facilities with differing throughputs. Facilities evaluated include both dual-stream and single-stream processing.</a:t>
          </a:r>
          <a:r>
            <a:rPr lang="en-CA" sz="1000">
              <a:solidFill>
                <a:schemeClr val="bg2">
                  <a:lumMod val="25000"/>
                </a:schemeClr>
              </a:solidFill>
              <a:effectLst/>
              <a:latin typeface="News Gothic MT" panose="020B0504020203020204" pitchFamily="34" charset="0"/>
              <a:ea typeface="+mn-ea"/>
              <a:cs typeface="Arial" panose="020B0604020202020204" pitchFamily="34" charset="0"/>
            </a:rPr>
            <a:t> Annual operating costs are estimated for both single and two-shift operations for each facility. Assumptions were made in developing the MRF cost model to reflect what should be possible in MRFs with a typical listed target products. The</a:t>
          </a:r>
          <a:r>
            <a:rPr lang="en-CA" sz="1000" baseline="0">
              <a:solidFill>
                <a:schemeClr val="bg2">
                  <a:lumMod val="25000"/>
                </a:schemeClr>
              </a:solidFill>
              <a:effectLst/>
              <a:latin typeface="News Gothic MT" panose="020B0504020203020204" pitchFamily="34" charset="0"/>
              <a:ea typeface="+mn-ea"/>
              <a:cs typeface="Arial" panose="020B0604020202020204" pitchFamily="34" charset="0"/>
            </a:rPr>
            <a:t> model does not necessarily reflect</a:t>
          </a:r>
          <a:r>
            <a:rPr lang="en-CA" sz="1000">
              <a:solidFill>
                <a:schemeClr val="bg2">
                  <a:lumMod val="25000"/>
                </a:schemeClr>
              </a:solidFill>
              <a:effectLst/>
              <a:latin typeface="News Gothic MT" panose="020B0504020203020204" pitchFamily="34" charset="0"/>
              <a:ea typeface="+mn-ea"/>
              <a:cs typeface="Arial" panose="020B0604020202020204" pitchFamily="34" charset="0"/>
            </a:rPr>
            <a:t> the actual fixed and variable costs of a 'real'</a:t>
          </a:r>
          <a:r>
            <a:rPr lang="en-CA" sz="1000" baseline="0">
              <a:solidFill>
                <a:schemeClr val="bg2">
                  <a:lumMod val="25000"/>
                </a:schemeClr>
              </a:solidFill>
              <a:effectLst/>
              <a:latin typeface="News Gothic MT" panose="020B0504020203020204" pitchFamily="34" charset="0"/>
              <a:ea typeface="+mn-ea"/>
              <a:cs typeface="Arial" panose="020B0604020202020204" pitchFamily="34" charset="0"/>
            </a:rPr>
            <a:t> facility, but instead uses estimates to forecast processing cost per ton to the annual throughput based on the operating budgets of various types of facilities</a:t>
          </a:r>
          <a:r>
            <a:rPr lang="en-CA" sz="1000">
              <a:solidFill>
                <a:schemeClr val="bg2">
                  <a:lumMod val="25000"/>
                </a:schemeClr>
              </a:solidFill>
              <a:effectLst/>
              <a:latin typeface="News Gothic MT" panose="020B0504020203020204" pitchFamily="34" charset="0"/>
              <a:ea typeface="+mn-ea"/>
              <a:cs typeface="Arial" panose="020B0604020202020204" pitchFamily="34" charset="0"/>
            </a:rPr>
            <a:t>. The model costs take into account the impact of varying levels of contamination</a:t>
          </a:r>
          <a:r>
            <a:rPr lang="en-CA" sz="1000" baseline="0">
              <a:solidFill>
                <a:schemeClr val="bg2">
                  <a:lumMod val="25000"/>
                </a:schemeClr>
              </a:solidFill>
              <a:effectLst/>
              <a:latin typeface="News Gothic MT" panose="020B0504020203020204" pitchFamily="34" charset="0"/>
              <a:ea typeface="+mn-ea"/>
              <a:cs typeface="Arial" panose="020B0604020202020204" pitchFamily="34" charset="0"/>
            </a:rPr>
            <a:t> based on the chosen collection system.</a:t>
          </a:r>
          <a:endParaRPr lang="en-CA" sz="1000">
            <a:solidFill>
              <a:schemeClr val="bg2">
                <a:lumMod val="25000"/>
              </a:schemeClr>
            </a:solidFill>
            <a:effectLst/>
            <a:latin typeface="News Gothic MT" panose="020B0504020203020204" pitchFamily="34" charset="0"/>
            <a:ea typeface="+mn-ea"/>
            <a:cs typeface="Arial" panose="020B0604020202020204" pitchFamily="34" charset="0"/>
          </a:endParaRPr>
        </a:p>
        <a:p>
          <a:pPr eaLnBrk="1" fontAlgn="auto" latinLnBrk="0" hangingPunct="1"/>
          <a:endParaRPr lang="en-US" sz="1000">
            <a:solidFill>
              <a:schemeClr val="bg2">
                <a:lumMod val="25000"/>
              </a:schemeClr>
            </a:solidFill>
            <a:effectLst/>
            <a:latin typeface="News Gothic MT" panose="020B0504020203020204" pitchFamily="34" charset="0"/>
            <a:cs typeface="Arial" panose="020B0604020202020204" pitchFamily="34" charset="0"/>
          </a:endParaRPr>
        </a:p>
        <a:p>
          <a:r>
            <a:rPr lang="en-US" sz="1000" baseline="0">
              <a:solidFill>
                <a:schemeClr val="bg2">
                  <a:lumMod val="25000"/>
                </a:schemeClr>
              </a:solidFill>
              <a:effectLst/>
              <a:latin typeface="News Gothic MT" panose="020B0504020203020204" pitchFamily="34" charset="0"/>
              <a:ea typeface="+mn-ea"/>
              <a:cs typeface="Arial" panose="020B0604020202020204" pitchFamily="34" charset="0"/>
            </a:rPr>
            <a:t>As the tons of recyclables increase the costs associated with those tons change due to the scale of the transfer operation, increasing efficiencies of a MRF driven by technology and throughput. This means that if additional tonnages of recyclables can be aggregated by several communities they can achieve better economies of scale in both the transfer operation and in the option of developing a regional MRF becoming a possibility.</a:t>
          </a:r>
        </a:p>
        <a:p>
          <a:endParaRPr lang="en-US" sz="1000" baseline="0">
            <a:solidFill>
              <a:schemeClr val="bg2">
                <a:lumMod val="25000"/>
              </a:schemeClr>
            </a:solidFill>
            <a:effectLst/>
            <a:latin typeface="News Gothic MT" panose="020B0504020203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rgbClr val="92D050"/>
              </a:solidFill>
              <a:effectLst/>
              <a:uLnTx/>
              <a:uFillTx/>
              <a:latin typeface="Gill Sans MT Condensed" panose="020B0506020104020203" pitchFamily="34" charset="0"/>
              <a:ea typeface="+mn-ea"/>
              <a:cs typeface="Arial" panose="020B0604020202020204" pitchFamily="34" charset="0"/>
            </a:rPr>
            <a:t>Organics Direct Haul and Compost Sites </a:t>
          </a:r>
        </a:p>
        <a:p>
          <a:pPr marL="0" marR="0">
            <a:lnSpc>
              <a:spcPct val="107000"/>
            </a:lnSpc>
            <a:spcBef>
              <a:spcPts val="0"/>
            </a:spcBef>
            <a:spcAft>
              <a:spcPts val="800"/>
            </a:spcAft>
          </a:pPr>
          <a:r>
            <a:rPr lang="en-US" sz="1000">
              <a:effectLst/>
              <a:latin typeface="News Gothic MT" panose="020B0504020203020204" pitchFamily="34" charset="0"/>
              <a:ea typeface="Calibri" panose="020F0502020204030204" pitchFamily="34" charset="0"/>
              <a:cs typeface="Times New Roman" panose="02020603050405020304" pitchFamily="18" charset="0"/>
            </a:rPr>
            <a:t>Unlike recyclables in the Hub &amp; Spoke Model, the organics model only considers direct haul to a nearby compost site or building a compost site locally. This model is based on an assumption that any municipality should have space for a nearby compost site, or be able to direct haul organics, thereby removing the need for a transfer station. As with a MRF, in order to reach the level of cost efficiency where building a compost site makes economic sense, it is likely that multiple communities may need to work together to consolidate their tons of organics.</a:t>
          </a:r>
        </a:p>
        <a:p>
          <a:pPr marL="0" marR="0">
            <a:lnSpc>
              <a:spcPct val="107000"/>
            </a:lnSpc>
            <a:spcBef>
              <a:spcPts val="0"/>
            </a:spcBef>
            <a:spcAft>
              <a:spcPts val="800"/>
            </a:spcAft>
          </a:pPr>
          <a:r>
            <a:rPr lang="en-US" sz="1000">
              <a:effectLst/>
              <a:latin typeface="News Gothic MT" panose="020B0504020203020204" pitchFamily="34" charset="0"/>
              <a:ea typeface="Calibri" panose="020F0502020204030204" pitchFamily="34" charset="0"/>
              <a:cs typeface="Times New Roman" panose="02020603050405020304" pitchFamily="18" charset="0"/>
            </a:rPr>
            <a:t>The costs / revenues of the organics collected are included in this model and are assumed in the tip fee for disposal paid at an existing facility. When the tonnage of organics exceeds 1,250 tons, the costs will be presented and can be compared to the costs of direct haul to make a determination of the most viable program approach for processing organics. </a:t>
          </a:r>
          <a:r>
            <a:rPr lang="en-CA" sz="1000">
              <a:effectLst/>
              <a:latin typeface="News Gothic MT" panose="020B0504020203020204" pitchFamily="34" charset="0"/>
              <a:ea typeface="Calibri" panose="020F0502020204030204" pitchFamily="34" charset="0"/>
              <a:cs typeface="Times New Roman" panose="02020603050405020304" pitchFamily="18" charset="0"/>
            </a:rPr>
            <a:t>The various systems trade off capital and operating costs, site requirements and convenience, and long-haul shipping efficiencies.  Aerated static pile and windrow compost systems vary in terms of their operational and space requirements, so a choice of the appropriate system should not be made solely from the information presented here. Detailed consideration of the appropriate technology is needed before any final technology decision is made. </a:t>
          </a:r>
          <a:endParaRPr lang="en-CA" sz="1000" baseline="0">
            <a:effectLst/>
            <a:latin typeface="News Gothic MT" panose="020B050402020302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lang="en-US" sz="1000">
              <a:solidFill>
                <a:schemeClr val="dk1"/>
              </a:solidFill>
              <a:effectLst/>
              <a:latin typeface="News Gothic MT" panose="020B0504020203020204" pitchFamily="34" charset="0"/>
              <a:ea typeface="+mn-ea"/>
              <a:cs typeface="+mn-cs"/>
            </a:rPr>
            <a:t>If tonnage generated is not enough to warrant a compost site, backyard composting should be considered, as it can be an easier and inexpensive way for communities to manage residentially generated materials. Many cities in the U.S. promote composting by offering discounts or vouchers to purchase the equipment necessary to start. Other methods of funding include grants from NGO’s or charities, which may additionally serve as a source for backyard composting educational materials or classes.</a:t>
          </a:r>
        </a:p>
        <a:p>
          <a:pPr marL="0" marR="0" lvl="0" indent="0" defTabSz="914400" eaLnBrk="1" fontAlgn="auto" latinLnBrk="0" hangingPunct="1">
            <a:lnSpc>
              <a:spcPct val="107000"/>
            </a:lnSpc>
            <a:spcBef>
              <a:spcPts val="0"/>
            </a:spcBef>
            <a:spcAft>
              <a:spcPts val="800"/>
            </a:spcAft>
            <a:buClrTx/>
            <a:buSzTx/>
            <a:buFontTx/>
            <a:buNone/>
            <a:tabLst/>
            <a:defRPr/>
          </a:pPr>
          <a:endParaRPr lang="en-US" sz="1000">
            <a:solidFill>
              <a:schemeClr val="dk1"/>
            </a:solidFill>
            <a:effectLst/>
            <a:latin typeface="News Gothic MT" panose="020B0504020203020204" pitchFamily="34" charset="0"/>
            <a:ea typeface="+mn-ea"/>
            <a:cs typeface="+mn-cs"/>
          </a:endParaRPr>
        </a:p>
        <a:p>
          <a:pPr marL="0" marR="0" lvl="0" indent="0" defTabSz="914400" eaLnBrk="1" fontAlgn="auto" latinLnBrk="0" hangingPunct="1">
            <a:lnSpc>
              <a:spcPct val="107000"/>
            </a:lnSpc>
            <a:spcBef>
              <a:spcPts val="0"/>
            </a:spcBef>
            <a:spcAft>
              <a:spcPts val="800"/>
            </a:spcAft>
            <a:buClrTx/>
            <a:buSzTx/>
            <a:buFontTx/>
            <a:buNone/>
            <a:tabLst/>
            <a:defRPr/>
          </a:pPr>
          <a:endParaRPr lang="en-US" sz="1000">
            <a:solidFill>
              <a:schemeClr val="dk1"/>
            </a:solidFill>
            <a:effectLst/>
            <a:latin typeface="News Gothic MT" panose="020B0504020203020204" pitchFamily="34" charset="0"/>
            <a:ea typeface="+mn-ea"/>
            <a:cs typeface="+mn-cs"/>
          </a:endParaRPr>
        </a:p>
        <a:p>
          <a:pPr marL="0" marR="0" lvl="0" indent="0" defTabSz="914400" eaLnBrk="1" fontAlgn="auto" latinLnBrk="0" hangingPunct="1">
            <a:lnSpc>
              <a:spcPct val="107000"/>
            </a:lnSpc>
            <a:spcBef>
              <a:spcPts val="0"/>
            </a:spcBef>
            <a:spcAft>
              <a:spcPts val="800"/>
            </a:spcAft>
            <a:buClrTx/>
            <a:buSzTx/>
            <a:buFontTx/>
            <a:buNone/>
            <a:tabLst/>
            <a:defRPr/>
          </a:pPr>
          <a:endParaRPr lang="en-US" sz="1000">
            <a:solidFill>
              <a:schemeClr val="dk1"/>
            </a:solidFill>
            <a:effectLst/>
            <a:latin typeface="News Gothic MT" panose="020B0504020203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1" u="none" strike="noStrike" kern="0" cap="none" spc="0" normalizeH="0" baseline="0" noProof="0">
              <a:ln>
                <a:noFill/>
              </a:ln>
              <a:solidFill>
                <a:srgbClr val="9A9C79">
                  <a:lumMod val="50000"/>
                </a:srgbClr>
              </a:solidFill>
              <a:effectLst/>
              <a:uLnTx/>
              <a:uFillTx/>
              <a:latin typeface="Calibri Light" panose="020F0302020204030204"/>
              <a:ea typeface="+mn-ea"/>
              <a:cs typeface="+mn-cs"/>
            </a:rPr>
            <a:t>Managing change in a resource-constrained world  </a:t>
          </a:r>
          <a:r>
            <a:rPr kumimoji="0" lang="en-US" sz="1200" b="0" i="0" u="none" strike="noStrike" kern="0" cap="none" spc="0" normalizeH="0" baseline="0" noProof="0">
              <a:ln>
                <a:noFill/>
              </a:ln>
              <a:solidFill>
                <a:srgbClr val="445A01">
                  <a:lumMod val="90000"/>
                  <a:lumOff val="10000"/>
                </a:srgbClr>
              </a:solidFill>
              <a:effectLst/>
              <a:uLnTx/>
              <a:uFillTx/>
              <a:latin typeface="Calibri Light" panose="020F0302020204030204"/>
              <a:ea typeface="+mn-ea"/>
              <a:cs typeface="+mn-cs"/>
            </a:rPr>
            <a:t>www.recycle.com</a:t>
          </a:r>
          <a:endParaRPr kumimoji="0" lang="en-US" sz="1200" b="1" i="1" u="none" strike="noStrike" kern="0" cap="none" spc="0" normalizeH="0" baseline="0" noProof="0">
            <a:ln>
              <a:noFill/>
            </a:ln>
            <a:solidFill>
              <a:srgbClr val="9A9C79">
                <a:lumMod val="50000"/>
              </a:srgbClr>
            </a:solidFill>
            <a:effectLst/>
            <a:uLnTx/>
            <a:uFillTx/>
            <a:latin typeface="+mn-lt"/>
            <a:ea typeface="+mn-ea"/>
            <a:cs typeface="+mn-cs"/>
          </a:endParaRPr>
        </a:p>
        <a:p>
          <a:pPr marL="0" marR="0" lvl="0" indent="0" defTabSz="914400" eaLnBrk="1" fontAlgn="auto" latinLnBrk="0" hangingPunct="1">
            <a:lnSpc>
              <a:spcPct val="107000"/>
            </a:lnSpc>
            <a:spcBef>
              <a:spcPts val="0"/>
            </a:spcBef>
            <a:spcAft>
              <a:spcPts val="800"/>
            </a:spcAft>
            <a:buClrTx/>
            <a:buSzTx/>
            <a:buFontTx/>
            <a:buNone/>
            <a:tabLst/>
            <a:defRPr/>
          </a:pPr>
          <a:endParaRPr lang="en-US" sz="1100">
            <a:solidFill>
              <a:schemeClr val="dk1"/>
            </a:solidFill>
            <a:effectLst/>
            <a:latin typeface="News Gothic MT" panose="020B0504020203020204" pitchFamily="34" charset="0"/>
            <a:ea typeface="+mn-ea"/>
            <a:cs typeface="+mn-cs"/>
          </a:endParaRPr>
        </a:p>
        <a:p>
          <a:pPr marL="0" marR="0">
            <a:lnSpc>
              <a:spcPct val="107000"/>
            </a:lnSpc>
            <a:spcBef>
              <a:spcPts val="0"/>
            </a:spcBef>
            <a:spcAft>
              <a:spcPts val="800"/>
            </a:spcAft>
          </a:pPr>
          <a:endParaRPr lang="en-CA" sz="1000" baseline="0">
            <a:effectLst/>
            <a:latin typeface="News Gothic MT" panose="020B050402020302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endParaRPr lang="en-US" sz="1000">
            <a:effectLst/>
            <a:latin typeface="News Gothic MT" panose="020B050402020302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1" i="0" u="none" strike="noStrike" kern="0" cap="none" spc="0" normalizeH="0" baseline="0" noProof="0">
            <a:ln>
              <a:noFill/>
            </a:ln>
            <a:solidFill>
              <a:srgbClr val="92D050"/>
            </a:solidFill>
            <a:effectLst/>
            <a:uLnTx/>
            <a:uFillTx/>
            <a:latin typeface="Gill Sans MT Condensed" panose="020B0506020104020203"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rgbClr val="92D050"/>
            </a:solidFill>
            <a:effectLst/>
            <a:uLnTx/>
            <a:uFillTx/>
            <a:latin typeface="Gill Sans MT Condensed" panose="020B0506020104020203" pitchFamily="34" charset="0"/>
            <a:ea typeface="+mn-ea"/>
            <a:cs typeface="Arial" panose="020B0604020202020204" pitchFamily="34" charset="0"/>
          </a:endParaRPr>
        </a:p>
        <a:p>
          <a:endParaRPr lang="en-US" sz="1000">
            <a:solidFill>
              <a:schemeClr val="bg2">
                <a:lumMod val="25000"/>
              </a:schemeClr>
            </a:solidFill>
            <a:effectLst/>
            <a:latin typeface="News Gothic MT" panose="020B0504020203020204" pitchFamily="34" charset="0"/>
            <a:cs typeface="Arial" panose="020B0604020202020204" pitchFamily="34" charset="0"/>
          </a:endParaRPr>
        </a:p>
        <a:p>
          <a:pPr lvl="0" algn="l"/>
          <a:endParaRPr lang="en-US" sz="1000">
            <a:solidFill>
              <a:sysClr val="windowText" lastClr="000000"/>
            </a:solidFill>
            <a:effectLst/>
            <a:latin typeface="News Gothic MT" charset="0"/>
            <a:ea typeface="News Gothic MT" charset="0"/>
            <a:cs typeface="News Gothic MT" charset="0"/>
          </a:endParaRPr>
        </a:p>
        <a:p>
          <a:pPr lvl="0" algn="l"/>
          <a:endParaRPr lang="en-US" sz="1000">
            <a:solidFill>
              <a:sysClr val="windowText" lastClr="000000"/>
            </a:solidFill>
            <a:effectLst/>
            <a:latin typeface="News Gothic MT" charset="0"/>
            <a:ea typeface="News Gothic MT" charset="0"/>
            <a:cs typeface="News Gothic MT" charset="0"/>
          </a:endParaRPr>
        </a:p>
        <a:p>
          <a:pPr lvl="0" algn="l"/>
          <a:r>
            <a:rPr lang="en-US" sz="1200" b="1" i="1">
              <a:solidFill>
                <a:schemeClr val="accent4">
                  <a:lumMod val="50000"/>
                </a:schemeClr>
              </a:solidFill>
              <a:effectLst/>
              <a:latin typeface="+mn-lt"/>
              <a:ea typeface="+mn-ea"/>
              <a:cs typeface="+mn-cs"/>
            </a:rPr>
            <a:t>                  </a:t>
          </a:r>
        </a:p>
        <a:p>
          <a:pPr lvl="0" algn="l"/>
          <a:endParaRPr lang="en-US" sz="1200" b="1" i="1">
            <a:solidFill>
              <a:schemeClr val="accent4">
                <a:lumMod val="50000"/>
              </a:schemeClr>
            </a:solidFill>
            <a:effectLst/>
            <a:latin typeface="+mn-lt"/>
            <a:ea typeface="+mn-ea"/>
            <a:cs typeface="+mn-cs"/>
          </a:endParaRPr>
        </a:p>
        <a:p>
          <a:pPr lvl="0" algn="l"/>
          <a:endParaRPr lang="en-US" sz="1200" b="1" i="1">
            <a:solidFill>
              <a:schemeClr val="accent4">
                <a:lumMod val="50000"/>
              </a:schemeClr>
            </a:solidFill>
            <a:effectLst/>
            <a:latin typeface="+mn-lt"/>
            <a:ea typeface="+mn-ea"/>
            <a:cs typeface="+mn-cs"/>
          </a:endParaRPr>
        </a:p>
        <a:p>
          <a:pPr lvl="0" algn="l"/>
          <a:endParaRPr lang="en-US" sz="1200" b="1" i="1">
            <a:solidFill>
              <a:schemeClr val="accent4">
                <a:lumMod val="50000"/>
              </a:schemeClr>
            </a:solidFill>
            <a:effectLst/>
            <a:latin typeface="+mn-lt"/>
            <a:ea typeface="+mn-ea"/>
            <a:cs typeface="+mn-cs"/>
          </a:endParaRPr>
        </a:p>
        <a:p>
          <a:pPr lvl="0" algn="l"/>
          <a:endParaRPr lang="en-US" sz="1200" b="1" i="1">
            <a:solidFill>
              <a:schemeClr val="accent4">
                <a:lumMod val="50000"/>
              </a:schemeClr>
            </a:solidFill>
            <a:effectLst/>
            <a:latin typeface="+mn-lt"/>
            <a:ea typeface="+mn-ea"/>
            <a:cs typeface="+mn-cs"/>
          </a:endParaRPr>
        </a:p>
        <a:p>
          <a:pPr lvl="0" algn="l"/>
          <a:endParaRPr lang="en-US" sz="1200" b="1" i="1">
            <a:solidFill>
              <a:schemeClr val="accent4">
                <a:lumMod val="50000"/>
              </a:schemeClr>
            </a:solidFill>
            <a:effectLst/>
            <a:latin typeface="+mn-lt"/>
            <a:ea typeface="+mn-ea"/>
            <a:cs typeface="+mn-cs"/>
          </a:endParaRPr>
        </a:p>
        <a:p>
          <a:pPr lvl="0" algn="l"/>
          <a:endParaRPr lang="en-US" sz="1200" b="1" i="1">
            <a:solidFill>
              <a:schemeClr val="accent4">
                <a:lumMod val="50000"/>
              </a:schemeClr>
            </a:solidFill>
            <a:effectLst/>
            <a:latin typeface="+mn-lt"/>
            <a:ea typeface="+mn-ea"/>
            <a:cs typeface="+mn-cs"/>
          </a:endParaRPr>
        </a:p>
        <a:p>
          <a:pPr lvl="0" algn="l"/>
          <a:endParaRPr lang="en-US" sz="1200">
            <a:solidFill>
              <a:schemeClr val="accent6">
                <a:lumMod val="90000"/>
                <a:lumOff val="10000"/>
              </a:schemeClr>
            </a:solidFill>
            <a:effectLst/>
            <a:latin typeface="+mj-lt"/>
            <a:ea typeface="News Gothic MT" charset="0"/>
            <a:cs typeface="News Gothic MT" charset="0"/>
          </a:endParaRPr>
        </a:p>
      </xdr:txBody>
    </xdr:sp>
    <xdr:clientData/>
  </xdr:twoCellAnchor>
  <xdr:twoCellAnchor>
    <xdr:from>
      <xdr:col>1</xdr:col>
      <xdr:colOff>22127</xdr:colOff>
      <xdr:row>16</xdr:row>
      <xdr:rowOff>129129</xdr:rowOff>
    </xdr:from>
    <xdr:to>
      <xdr:col>5</xdr:col>
      <xdr:colOff>987135</xdr:colOff>
      <xdr:row>21</xdr:row>
      <xdr:rowOff>2770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29945" y="4017061"/>
          <a:ext cx="7381395" cy="869436"/>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0" rIns="182880" bIns="0" rtlCol="0" anchor="ctr"/>
        <a:lstStyle/>
        <a:p>
          <a:r>
            <a:rPr lang="en-US" sz="3200">
              <a:solidFill>
                <a:schemeClr val="bg1"/>
              </a:solidFill>
              <a:latin typeface="Gill Sans MT Condensed" charset="0"/>
              <a:ea typeface="Gill Sans MT Condensed" charset="0"/>
              <a:cs typeface="Gill Sans MT Condensed" charset="0"/>
            </a:rPr>
            <a:t>INTERPRETING YOUR RESULTS</a:t>
          </a:r>
        </a:p>
      </xdr:txBody>
    </xdr:sp>
    <xdr:clientData/>
  </xdr:twoCellAnchor>
  <xdr:twoCellAnchor editAs="oneCell">
    <xdr:from>
      <xdr:col>5</xdr:col>
      <xdr:colOff>164473</xdr:colOff>
      <xdr:row>114</xdr:row>
      <xdr:rowOff>65409</xdr:rowOff>
    </xdr:from>
    <xdr:to>
      <xdr:col>5</xdr:col>
      <xdr:colOff>816080</xdr:colOff>
      <xdr:row>116</xdr:row>
      <xdr:rowOff>17403</xdr:rowOff>
    </xdr:to>
    <xdr:pic>
      <xdr:nvPicPr>
        <xdr:cNvPr id="4" name="Picture 3" descr="RRSlogosmall">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023" y="20620359"/>
          <a:ext cx="642082" cy="272669"/>
        </a:xfrm>
        <a:prstGeom prst="rect">
          <a:avLst/>
        </a:prstGeom>
        <a:noFill/>
        <a:ln>
          <a:noFill/>
        </a:ln>
      </xdr:spPr>
    </xdr:pic>
    <xdr:clientData/>
  </xdr:twoCellAnchor>
  <xdr:twoCellAnchor>
    <xdr:from>
      <xdr:col>1</xdr:col>
      <xdr:colOff>2800350</xdr:colOff>
      <xdr:row>4</xdr:row>
      <xdr:rowOff>107084</xdr:rowOff>
    </xdr:from>
    <xdr:to>
      <xdr:col>1</xdr:col>
      <xdr:colOff>3189721</xdr:colOff>
      <xdr:row>4</xdr:row>
      <xdr:rowOff>107950</xdr:rowOff>
    </xdr:to>
    <xdr:cxnSp macro="">
      <xdr:nvCxnSpPr>
        <xdr:cNvPr id="6" name="Straight Arrow Connector 5">
          <a:extLst>
            <a:ext uri="{FF2B5EF4-FFF2-40B4-BE49-F238E27FC236}">
              <a16:creationId xmlns:a16="http://schemas.microsoft.com/office/drawing/2014/main" id="{00000000-0008-0000-0300-000006000000}"/>
            </a:ext>
          </a:extLst>
        </xdr:cNvPr>
        <xdr:cNvCxnSpPr/>
      </xdr:nvCxnSpPr>
      <xdr:spPr>
        <a:xfrm flipV="1">
          <a:off x="3009900" y="1554884"/>
          <a:ext cx="389371" cy="866"/>
        </a:xfrm>
        <a:prstGeom prst="straightConnector1">
          <a:avLst/>
        </a:prstGeom>
        <a:ln>
          <a:solidFill>
            <a:srgbClr val="FFFF00"/>
          </a:solidFill>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15522</xdr:colOff>
      <xdr:row>22</xdr:row>
      <xdr:rowOff>71902</xdr:rowOff>
    </xdr:from>
    <xdr:to>
      <xdr:col>9</xdr:col>
      <xdr:colOff>117230</xdr:colOff>
      <xdr:row>69</xdr:row>
      <xdr:rowOff>166076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69522" y="5396133"/>
          <a:ext cx="10750170" cy="789978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rIns="182880" bIns="91440" rtlCol="0" anchor="t"/>
        <a:lstStyle/>
        <a:p>
          <a:pPr algn="l"/>
          <a:r>
            <a:rPr lang="en-US" sz="1100">
              <a:solidFill>
                <a:srgbClr val="000000"/>
              </a:solidFill>
              <a:effectLst/>
              <a:latin typeface="News Gothic MT" charset="0"/>
              <a:ea typeface="News Gothic MT" charset="0"/>
              <a:cs typeface="News Gothic MT" charset="0"/>
            </a:rPr>
            <a:t>The Transfer &amp; Processing Model results below allow the user to compare the impacts and costs of building a transfer station versus a regional MRF. By reading across the two options you can see the differences in amount recycled and cost of each one. The following notes help define these outputs.  </a:t>
          </a:r>
          <a:r>
            <a:rPr lang="en-US" sz="1100" baseline="0">
              <a:solidFill>
                <a:srgbClr val="0070C0"/>
              </a:solidFill>
              <a:effectLst/>
              <a:latin typeface="News Gothic MT" charset="0"/>
              <a:ea typeface="News Gothic MT" charset="0"/>
              <a:cs typeface="News Gothic MT" charset="0"/>
            </a:rPr>
            <a:t>When the tonnage of recyclables exceeds 10,000 tons the MRF costs will be presented and can be compared to the  costs of transfer to make a determination of the most viable program approach for processing recyclable amterials. </a:t>
          </a:r>
          <a:r>
            <a:rPr lang="en-US" sz="1100">
              <a:solidFill>
                <a:srgbClr val="FF0000"/>
              </a:solidFill>
              <a:effectLst/>
              <a:latin typeface="News Gothic MT" charset="0"/>
              <a:ea typeface="News Gothic MT" charset="0"/>
              <a:cs typeface="News Gothic MT" charset="0"/>
            </a:rPr>
            <a:t>DAVID - Can</a:t>
          </a:r>
          <a:r>
            <a:rPr lang="en-US" sz="1100" baseline="0">
              <a:solidFill>
                <a:srgbClr val="FF0000"/>
              </a:solidFill>
              <a:effectLst/>
              <a:latin typeface="News Gothic MT" charset="0"/>
              <a:ea typeface="News Gothic MT" charset="0"/>
              <a:cs typeface="News Gothic MT" charset="0"/>
            </a:rPr>
            <a:t> you add something about how a user can intererpret the results on for hub &amp; spoke - perhaps how they could look at totals and decide when to partner with other communities to get more tons and reduce costs of trasnfer / processing?</a:t>
          </a:r>
          <a:endParaRPr lang="en-US" sz="1100">
            <a:solidFill>
              <a:srgbClr val="FF0000"/>
            </a:solidFill>
            <a:effectLst/>
            <a:latin typeface="News Gothic MT" charset="0"/>
            <a:ea typeface="News Gothic MT" charset="0"/>
            <a:cs typeface="News Gothic MT" charset="0"/>
          </a:endParaRPr>
        </a:p>
        <a:p>
          <a:pPr algn="l"/>
          <a:endParaRPr lang="en-US" sz="1100">
            <a:solidFill>
              <a:schemeClr val="dk1"/>
            </a:solidFill>
            <a:effectLst/>
            <a:latin typeface="News Gothic MT" charset="0"/>
            <a:ea typeface="News Gothic MT" charset="0"/>
            <a:cs typeface="News Gothic MT" charset="0"/>
          </a:endParaRPr>
        </a:p>
        <a:p>
          <a:pPr algn="l"/>
          <a:r>
            <a:rPr lang="en-US" sz="2400" b="1">
              <a:solidFill>
                <a:schemeClr val="accent1"/>
              </a:solidFill>
              <a:effectLst/>
              <a:latin typeface="Gill Sans MT Condensed" charset="0"/>
              <a:ea typeface="Gill Sans MT Condensed" charset="0"/>
              <a:cs typeface="Gill Sans MT Condensed" charset="0"/>
            </a:rPr>
            <a:t>DETAILED DESCRIPTIONS OF PROGRAMS</a:t>
          </a:r>
        </a:p>
        <a:p>
          <a:pPr algn="l"/>
          <a:r>
            <a:rPr lang="en-US" sz="1200" b="1">
              <a:solidFill>
                <a:srgbClr val="000000"/>
              </a:solidFill>
              <a:effectLst/>
              <a:latin typeface="News Gothic MT" charset="0"/>
              <a:ea typeface="News Gothic MT" charset="0"/>
              <a:cs typeface="News Gothic MT" charset="0"/>
            </a:rPr>
            <a:t>Recyclables</a:t>
          </a:r>
          <a:r>
            <a:rPr lang="en-US" sz="1200" b="1" baseline="0">
              <a:solidFill>
                <a:srgbClr val="000000"/>
              </a:solidFill>
              <a:effectLst/>
              <a:latin typeface="News Gothic MT" charset="0"/>
              <a:ea typeface="News Gothic MT" charset="0"/>
              <a:cs typeface="News Gothic MT" charset="0"/>
            </a:rPr>
            <a:t> Transfer Station and MRF Costs</a:t>
          </a:r>
          <a:endParaRPr lang="en-US" sz="1200">
            <a:solidFill>
              <a:srgbClr val="000000"/>
            </a:solidFill>
            <a:effectLst/>
            <a:latin typeface="News Gothic MT" charset="0"/>
            <a:ea typeface="News Gothic MT" charset="0"/>
            <a:cs typeface="News Gothic MT" charset="0"/>
          </a:endParaRPr>
        </a:p>
        <a:p>
          <a:pPr algn="l"/>
          <a:r>
            <a:rPr lang="en-US" sz="1100" b="0">
              <a:solidFill>
                <a:srgbClr val="000000"/>
              </a:solidFill>
              <a:effectLst/>
              <a:latin typeface="News Gothic MT" charset="0"/>
              <a:ea typeface="News Gothic MT" charset="0"/>
              <a:cs typeface="News Gothic MT" charset="0"/>
            </a:rPr>
            <a:t>The transfer</a:t>
          </a:r>
          <a:r>
            <a:rPr lang="en-US" sz="1100" b="0" baseline="0">
              <a:solidFill>
                <a:srgbClr val="000000"/>
              </a:solidFill>
              <a:effectLst/>
              <a:latin typeface="News Gothic MT" charset="0"/>
              <a:ea typeface="News Gothic MT" charset="0"/>
              <a:cs typeface="News Gothic MT" charset="0"/>
            </a:rPr>
            <a:t> station costs are the cost of buildings, equipment, rolling stock and land improvements. This also includes the following operational costs: employee costs, fringe benefits, administration, other non-staff operations and maintenance charges and insurance. </a:t>
          </a:r>
          <a:r>
            <a:rPr lang="en-US" sz="1100">
              <a:solidFill>
                <a:srgbClr val="000000"/>
              </a:solidFill>
              <a:effectLst/>
              <a:latin typeface="News Gothic MT" charset="0"/>
              <a:ea typeface="News Gothic MT" charset="0"/>
              <a:cs typeface="News Gothic MT" charset="0"/>
            </a:rPr>
            <a:t>The costs / revenues of the recyclables collected are included in this Hub and Spoke model and are assumed in the recycling tip fee paid at an existing facility. </a:t>
          </a:r>
          <a:r>
            <a:rPr lang="en-US" sz="1100" baseline="0">
              <a:solidFill>
                <a:srgbClr val="0070C0"/>
              </a:solidFill>
              <a:effectLst/>
              <a:latin typeface="News Gothic MT" charset="0"/>
              <a:ea typeface="News Gothic MT" charset="0"/>
              <a:cs typeface="News Gothic MT" charset="0"/>
            </a:rPr>
            <a:t>The transfer of recyclable materials assumes that there is avaialble throughput in exisiting regional MRFs. </a:t>
          </a:r>
          <a:r>
            <a:rPr lang="en-US" sz="1100">
              <a:solidFill>
                <a:srgbClr val="000000"/>
              </a:solidFill>
              <a:effectLst/>
              <a:latin typeface="News Gothic MT" charset="0"/>
              <a:ea typeface="News Gothic MT" charset="0"/>
              <a:cs typeface="News Gothic MT" charset="0"/>
            </a:rPr>
            <a:t>A Material Recovery Facility is not considered unless the total tonnage exceeds 10,000 tons per year. The costs of a MRF are</a:t>
          </a:r>
          <a:r>
            <a:rPr lang="en-US" sz="1100" baseline="0">
              <a:solidFill>
                <a:srgbClr val="000000"/>
              </a:solidFill>
              <a:effectLst/>
              <a:latin typeface="News Gothic MT" charset="0"/>
              <a:ea typeface="News Gothic MT" charset="0"/>
              <a:cs typeface="News Gothic MT" charset="0"/>
            </a:rPr>
            <a:t> scaled based on the total tonnage and based on 11 types of facilities with differing throughputs including dual-stream and single-stream facilities. </a:t>
          </a:r>
          <a:r>
            <a:rPr lang="en-US" sz="1100" baseline="0">
              <a:solidFill>
                <a:srgbClr val="0070C0"/>
              </a:solidFill>
              <a:effectLst/>
              <a:latin typeface="News Gothic MT" charset="0"/>
              <a:ea typeface="News Gothic MT" charset="0"/>
              <a:cs typeface="News Gothic MT" charset="0"/>
            </a:rPr>
            <a:t>As the tons of recyclables increase the costs assoicated with those tons change due to the scale of the transfer operation, increasing efficiencies of a MRF driven by technology and throughput. This means that if additional tonnages of recyclables can be aggregated by several communities they can achieve better economies of scale in both the transfer operation and in the option of developing a regional MRF becoming a possibility.  </a:t>
          </a:r>
          <a:r>
            <a:rPr lang="en-US" sz="1100" baseline="0">
              <a:solidFill>
                <a:srgbClr val="FF0000"/>
              </a:solidFill>
              <a:effectLst/>
              <a:latin typeface="News Gothic MT" charset="0"/>
              <a:ea typeface="News Gothic MT" charset="0"/>
              <a:cs typeface="News Gothic MT" charset="0"/>
            </a:rPr>
            <a:t>DAVE can you write something about how costs / MRF models change with increasing tons, if this is true?</a:t>
          </a:r>
        </a:p>
        <a:p>
          <a:pPr algn="l"/>
          <a:endParaRPr lang="en-US" sz="1200" b="1">
            <a:solidFill>
              <a:srgbClr val="000000"/>
            </a:solidFill>
            <a:effectLst/>
            <a:latin typeface="News Gothic MT" charset="0"/>
            <a:ea typeface="News Gothic MT" charset="0"/>
            <a:cs typeface="News Gothic MT" charset="0"/>
          </a:endParaRPr>
        </a:p>
        <a:p>
          <a:pPr algn="l"/>
          <a:r>
            <a:rPr lang="en-US" sz="1200" b="1">
              <a:solidFill>
                <a:srgbClr val="000000"/>
              </a:solidFill>
              <a:effectLst/>
              <a:latin typeface="News Gothic MT" charset="0"/>
              <a:ea typeface="News Gothic MT" charset="0"/>
              <a:cs typeface="News Gothic MT" charset="0"/>
            </a:rPr>
            <a:t>OUTPUT</a:t>
          </a:r>
          <a:r>
            <a:rPr lang="en-US" sz="1200" b="1" baseline="0">
              <a:solidFill>
                <a:srgbClr val="000000"/>
              </a:solidFill>
              <a:effectLst/>
              <a:latin typeface="News Gothic MT" charset="0"/>
              <a:ea typeface="News Gothic MT" charset="0"/>
              <a:cs typeface="News Gothic MT" charset="0"/>
            </a:rPr>
            <a:t> DEFINITIONS</a:t>
          </a:r>
          <a:endParaRPr lang="en-US" sz="1200" b="1">
            <a:solidFill>
              <a:srgbClr val="000000"/>
            </a:solidFill>
            <a:effectLst/>
            <a:latin typeface="News Gothic MT" charset="0"/>
            <a:ea typeface="News Gothic MT" charset="0"/>
            <a:cs typeface="News Gothic MT" charset="0"/>
          </a:endParaRPr>
        </a:p>
        <a:p>
          <a:pPr lvl="0" algn="l"/>
          <a:r>
            <a:rPr lang="en-US" sz="1100" b="1">
              <a:solidFill>
                <a:srgbClr val="000000"/>
              </a:solidFill>
              <a:effectLst/>
              <a:latin typeface="News Gothic MT" charset="0"/>
              <a:ea typeface="News Gothic MT" charset="0"/>
              <a:cs typeface="News Gothic MT" charset="0"/>
            </a:rPr>
            <a:t>1. Tons of Recycling per Year:</a:t>
          </a:r>
          <a:r>
            <a:rPr lang="en-US" sz="1100">
              <a:solidFill>
                <a:srgbClr val="000000"/>
              </a:solidFill>
              <a:effectLst/>
              <a:latin typeface="News Gothic MT" charset="0"/>
              <a:ea typeface="News Gothic MT" charset="0"/>
              <a:cs typeface="News Gothic MT" charset="0"/>
            </a:rPr>
            <a:t> The total number of tons recycled in the community per year. This does not include commercial or industrial sectors. </a:t>
          </a:r>
        </a:p>
        <a:p>
          <a:pPr lvl="0" algn="l"/>
          <a:endParaRPr lang="en-US" sz="1100" b="1">
            <a:solidFill>
              <a:srgbClr val="000000"/>
            </a:solidFill>
            <a:effectLst/>
            <a:latin typeface="News Gothic MT" charset="0"/>
            <a:ea typeface="News Gothic MT" charset="0"/>
            <a:cs typeface="News Gothic MT" charset="0"/>
          </a:endParaRPr>
        </a:p>
        <a:p>
          <a:pPr lvl="0" algn="l"/>
          <a:r>
            <a:rPr lang="en-US" sz="1100" b="1">
              <a:solidFill>
                <a:srgbClr val="000000"/>
              </a:solidFill>
              <a:effectLst/>
              <a:latin typeface="News Gothic MT" charset="0"/>
              <a:ea typeface="News Gothic MT" charset="0"/>
              <a:cs typeface="News Gothic MT" charset="0"/>
            </a:rPr>
            <a:t>2. Pounds of Recycling per Household per Year: </a:t>
          </a:r>
          <a:r>
            <a:rPr lang="en-US" sz="1100">
              <a:solidFill>
                <a:srgbClr val="000000"/>
              </a:solidFill>
              <a:effectLst/>
              <a:latin typeface="News Gothic MT" charset="0"/>
              <a:ea typeface="News Gothic MT" charset="0"/>
              <a:cs typeface="News Gothic MT" charset="0"/>
            </a:rPr>
            <a:t>The total number of pounds recycled in the community per year, divided by the total number of households.</a:t>
          </a:r>
        </a:p>
        <a:p>
          <a:pPr lvl="0" algn="l"/>
          <a:endParaRPr lang="en-US" sz="1100" b="1">
            <a:solidFill>
              <a:srgbClr val="000000"/>
            </a:solidFill>
            <a:effectLst/>
            <a:latin typeface="News Gothic MT" charset="0"/>
            <a:ea typeface="News Gothic MT" charset="0"/>
            <a:cs typeface="News Gothic MT" charset="0"/>
          </a:endParaRPr>
        </a:p>
        <a:p>
          <a:pPr lvl="0" algn="l"/>
          <a:r>
            <a:rPr lang="en-US" sz="1100" b="1">
              <a:solidFill>
                <a:srgbClr val="000000"/>
              </a:solidFill>
              <a:effectLst/>
              <a:latin typeface="News Gothic MT" charset="0"/>
              <a:ea typeface="News Gothic MT" charset="0"/>
              <a:cs typeface="News Gothic MT" charset="0"/>
            </a:rPr>
            <a:t>3. Capital Annual Cost (Total):</a:t>
          </a:r>
          <a:r>
            <a:rPr lang="en-US" sz="1100">
              <a:solidFill>
                <a:srgbClr val="000000"/>
              </a:solidFill>
              <a:effectLst/>
              <a:latin typeface="News Gothic MT" charset="0"/>
              <a:ea typeface="News Gothic MT" charset="0"/>
              <a:cs typeface="News Gothic MT" charset="0"/>
            </a:rPr>
            <a:t> The total annual cost for all capital equipment, buildings and site improvements.</a:t>
          </a:r>
          <a:r>
            <a:rPr lang="en-US" sz="1100" baseline="0">
              <a:solidFill>
                <a:srgbClr val="000000"/>
              </a:solidFill>
              <a:effectLst/>
              <a:latin typeface="News Gothic MT" charset="0"/>
              <a:ea typeface="News Gothic MT" charset="0"/>
              <a:cs typeface="News Gothic MT" charset="0"/>
            </a:rPr>
            <a:t> - </a:t>
          </a:r>
          <a:r>
            <a:rPr lang="en-US" sz="1100" baseline="0">
              <a:solidFill>
                <a:srgbClr val="FF0000"/>
              </a:solidFill>
              <a:effectLst/>
              <a:latin typeface="News Gothic MT" charset="0"/>
              <a:ea typeface="News Gothic MT" charset="0"/>
              <a:cs typeface="News Gothic MT" charset="0"/>
            </a:rPr>
            <a:t>DAVID - Should this be the Annual Net Cost (total) instead? I</a:t>
          </a:r>
          <a:r>
            <a:rPr lang="en-US" sz="1100" baseline="0">
              <a:solidFill>
                <a:srgbClr val="0070C0"/>
              </a:solidFill>
              <a:effectLst/>
              <a:latin typeface="News Gothic MT" charset="0"/>
              <a:ea typeface="News Gothic MT" charset="0"/>
              <a:cs typeface="News Gothic MT" charset="0"/>
            </a:rPr>
            <a:t> had originally had the total capital cost ifdentified in this output but I gurss we do not want to show that although I think showing total capital requirement would be a good output to show. </a:t>
          </a:r>
          <a:endParaRPr lang="en-US" sz="1100">
            <a:solidFill>
              <a:srgbClr val="0070C0"/>
            </a:solidFill>
            <a:effectLst/>
            <a:latin typeface="News Gothic MT" charset="0"/>
            <a:ea typeface="News Gothic MT" charset="0"/>
            <a:cs typeface="News Gothic MT" charset="0"/>
          </a:endParaRPr>
        </a:p>
        <a:p>
          <a:pPr lvl="0" algn="l"/>
          <a:endParaRPr lang="en-US" sz="1200" b="1">
            <a:solidFill>
              <a:srgbClr val="000000"/>
            </a:solidFill>
            <a:effectLst/>
            <a:latin typeface="News Gothic MT" charset="0"/>
            <a:ea typeface="News Gothic MT" charset="0"/>
            <a:cs typeface="News Gothic MT"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a:solidFill>
                <a:srgbClr val="000000"/>
              </a:solidFill>
              <a:effectLst/>
              <a:latin typeface="News Gothic MT" charset="0"/>
              <a:ea typeface="News Gothic MT" charset="0"/>
              <a:cs typeface="News Gothic MT" charset="0"/>
            </a:rPr>
            <a:t>Annual Net Cost (Total):</a:t>
          </a:r>
          <a:r>
            <a:rPr lang="en-US" sz="1100">
              <a:solidFill>
                <a:srgbClr val="000000"/>
              </a:solidFill>
              <a:effectLst/>
              <a:latin typeface="News Gothic MT" charset="0"/>
              <a:ea typeface="News Gothic MT" charset="0"/>
              <a:cs typeface="News Gothic MT" charset="0"/>
            </a:rPr>
            <a:t> The total annual cost to run the program. This includes the cost buildings, rolling stock and equipment (Sort lines, balers, Compactors),</a:t>
          </a:r>
          <a:r>
            <a:rPr lang="en-US" sz="1100" baseline="0">
              <a:solidFill>
                <a:srgbClr val="000000"/>
              </a:solidFill>
              <a:effectLst/>
              <a:latin typeface="News Gothic MT" charset="0"/>
              <a:ea typeface="News Gothic MT" charset="0"/>
              <a:cs typeface="News Gothic MT" charset="0"/>
            </a:rPr>
            <a:t> </a:t>
          </a:r>
          <a:r>
            <a:rPr lang="en-US" sz="1100">
              <a:solidFill>
                <a:srgbClr val="000000"/>
              </a:solidFill>
              <a:effectLst/>
              <a:latin typeface="News Gothic MT" charset="0"/>
              <a:ea typeface="News Gothic MT" charset="0"/>
              <a:cs typeface="News Gothic MT" charset="0"/>
            </a:rPr>
            <a:t>operations, insurance and fees, fuel, maintenance, the cost of staff, a contingency for capital and operations, and the cost of servicing debt(all loans are assumed to use a 7-year payback period at 3.00% interest.</a:t>
          </a:r>
          <a:r>
            <a:rPr lang="en-US" sz="1100" baseline="0">
              <a:solidFill>
                <a:srgbClr val="000000"/>
              </a:solidFill>
              <a:effectLst/>
              <a:latin typeface="News Gothic MT" charset="0"/>
              <a:ea typeface="News Gothic MT" charset="0"/>
              <a:cs typeface="News Gothic MT" charset="0"/>
            </a:rPr>
            <a:t> </a:t>
          </a:r>
          <a:r>
            <a:rPr lang="en-US" sz="1100">
              <a:solidFill>
                <a:srgbClr val="000000"/>
              </a:solidFill>
              <a:effectLst/>
              <a:latin typeface="News Gothic MT" charset="0"/>
              <a:ea typeface="News Gothic MT" charset="0"/>
              <a:cs typeface="News Gothic MT" charset="0"/>
            </a:rPr>
            <a:t>It does include administrative or support staff</a:t>
          </a:r>
          <a:r>
            <a:rPr lang="en-US" sz="1100" baseline="0">
              <a:solidFill>
                <a:srgbClr val="000000"/>
              </a:solidFill>
              <a:effectLst/>
              <a:latin typeface="News Gothic MT" charset="0"/>
              <a:ea typeface="News Gothic MT" charset="0"/>
              <a:cs typeface="News Gothic MT" charset="0"/>
            </a:rPr>
            <a:t> and </a:t>
          </a:r>
          <a:r>
            <a:rPr lang="en-US" sz="1100">
              <a:solidFill>
                <a:srgbClr val="000000"/>
              </a:solidFill>
              <a:effectLst/>
              <a:latin typeface="News Gothic MT" charset="0"/>
              <a:ea typeface="News Gothic MT" charset="0"/>
              <a:cs typeface="News Gothic MT" charset="0"/>
            </a:rPr>
            <a:t>costs. </a:t>
          </a:r>
          <a:r>
            <a:rPr lang="en-US" sz="1100" b="1" baseline="0">
              <a:solidFill>
                <a:srgbClr val="000000"/>
              </a:solidFill>
              <a:effectLst/>
              <a:latin typeface="News Gothic MT" charset="0"/>
              <a:ea typeface="News Gothic MT" charset="0"/>
              <a:cs typeface="News Gothic MT" charset="0"/>
            </a:rPr>
            <a:t>. </a:t>
          </a:r>
          <a:r>
            <a:rPr lang="en-US" sz="1100">
              <a:solidFill>
                <a:srgbClr val="000000"/>
              </a:solidFill>
              <a:effectLst/>
              <a:latin typeface="News Gothic MT" charset="0"/>
              <a:ea typeface="News Gothic MT" charset="0"/>
              <a:cs typeface="News Gothic MT" charset="0"/>
            </a:rPr>
            <a:t>The costs / revenues of the recyclables collected are included in the Hub and Spoke model and are assumed in the recycling tip fee paid at an existing faculty. A Material Recovery Facility is not considered unless the total tonnage exceeds 10,000 tons per year </a:t>
          </a:r>
          <a:r>
            <a:rPr lang="en-US" sz="1100">
              <a:solidFill>
                <a:srgbClr val="0070C0"/>
              </a:solidFill>
              <a:effectLst/>
              <a:latin typeface="News Gothic MT" charset="0"/>
              <a:ea typeface="News Gothic MT" charset="0"/>
              <a:cs typeface="News Gothic MT" charset="0"/>
            </a:rPr>
            <a:t>therefore if the total tons</a:t>
          </a:r>
          <a:r>
            <a:rPr lang="en-US" sz="1100" baseline="0">
              <a:solidFill>
                <a:srgbClr val="0070C0"/>
              </a:solidFill>
              <a:effectLst/>
              <a:latin typeface="News Gothic MT" charset="0"/>
              <a:ea typeface="News Gothic MT" charset="0"/>
              <a:cs typeface="News Gothic MT" charset="0"/>
            </a:rPr>
            <a:t> of recyclables does not excedd 10,000 tons then ther will be no costs for a MRF identified in the model outputs.</a:t>
          </a:r>
          <a:r>
            <a:rPr lang="en-US" sz="1100">
              <a:solidFill>
                <a:srgbClr val="000000"/>
              </a:solidFill>
              <a:effectLst/>
              <a:latin typeface="News Gothic MT" charset="0"/>
              <a:ea typeface="News Gothic MT" charset="0"/>
              <a:cs typeface="News Gothic MT" charset="0"/>
            </a:rPr>
            <a:t> </a:t>
          </a:r>
          <a:r>
            <a:rPr lang="en-US" sz="1100" baseline="0">
              <a:solidFill>
                <a:srgbClr val="0070C0"/>
              </a:solidFill>
              <a:effectLst/>
              <a:latin typeface="News Gothic MT" charset="0"/>
              <a:ea typeface="News Gothic MT" charset="0"/>
              <a:cs typeface="News Gothic MT" charset="0"/>
            </a:rPr>
            <a:t>When the tonnage of recyclables exceeds 10,000 tons the MRF costs will be presented and can be compared to the  costs of transfer to make a determination of the most viable program approach for processing recyclable amterials. </a:t>
          </a:r>
          <a:r>
            <a:rPr lang="en-US" sz="1100">
              <a:solidFill>
                <a:srgbClr val="000000"/>
              </a:solidFill>
              <a:effectLst/>
              <a:latin typeface="News Gothic MT" charset="0"/>
              <a:ea typeface="News Gothic MT" charset="0"/>
              <a:cs typeface="News Gothic MT" charset="0"/>
            </a:rPr>
            <a:t>- </a:t>
          </a:r>
          <a:r>
            <a:rPr lang="en-US" sz="1100">
              <a:solidFill>
                <a:srgbClr val="FF0000"/>
              </a:solidFill>
              <a:effectLst/>
              <a:latin typeface="News Gothic MT" charset="0"/>
              <a:ea typeface="News Gothic MT" charset="0"/>
              <a:cs typeface="News Gothic MT" charset="0"/>
            </a:rPr>
            <a:t>DAVID - Not sure where this shows up on the output table?</a:t>
          </a:r>
        </a:p>
        <a:p>
          <a:pPr algn="l"/>
          <a:endParaRPr lang="en-US" sz="1100" b="1">
            <a:solidFill>
              <a:srgbClr val="000000"/>
            </a:solidFill>
            <a:effectLst/>
            <a:latin typeface="News Gothic MT" charset="0"/>
            <a:ea typeface="News Gothic MT" charset="0"/>
            <a:cs typeface="News Gothic MT" charset="0"/>
          </a:endParaRPr>
        </a:p>
        <a:p>
          <a:pPr lvl="0" algn="l"/>
          <a:r>
            <a:rPr lang="en-US" sz="1100" b="1">
              <a:solidFill>
                <a:srgbClr val="000000"/>
              </a:solidFill>
              <a:effectLst/>
              <a:latin typeface="News Gothic MT" charset="0"/>
              <a:ea typeface="News Gothic MT" charset="0"/>
              <a:cs typeface="News Gothic MT" charset="0"/>
            </a:rPr>
            <a:t>5. Cost per Household per Year:</a:t>
          </a:r>
          <a:r>
            <a:rPr lang="en-US" sz="1100">
              <a:solidFill>
                <a:srgbClr val="000000"/>
              </a:solidFill>
              <a:effectLst/>
              <a:latin typeface="News Gothic MT" charset="0"/>
              <a:ea typeface="News Gothic MT" charset="0"/>
              <a:cs typeface="News Gothic MT" charset="0"/>
            </a:rPr>
            <a:t> The Annual Net Cost (Total) divided by the total number of households in the community. </a:t>
          </a:r>
        </a:p>
        <a:p>
          <a:pPr lvl="0" algn="l"/>
          <a:endParaRPr lang="en-US" sz="1100" b="1">
            <a:solidFill>
              <a:srgbClr val="000000"/>
            </a:solidFill>
            <a:effectLst/>
            <a:latin typeface="News Gothic MT" charset="0"/>
            <a:ea typeface="News Gothic MT" charset="0"/>
            <a:cs typeface="News Gothic MT" charset="0"/>
          </a:endParaRPr>
        </a:p>
        <a:p>
          <a:pPr lvl="0" algn="l"/>
          <a:r>
            <a:rPr lang="en-US" sz="1100" b="1">
              <a:solidFill>
                <a:srgbClr val="000000"/>
              </a:solidFill>
              <a:effectLst/>
              <a:latin typeface="News Gothic MT" charset="0"/>
              <a:ea typeface="News Gothic MT" charset="0"/>
              <a:cs typeface="News Gothic MT" charset="0"/>
            </a:rPr>
            <a:t>6. Cost per Ton Recycled:</a:t>
          </a:r>
          <a:r>
            <a:rPr lang="en-US" sz="1100">
              <a:solidFill>
                <a:srgbClr val="000000"/>
              </a:solidFill>
              <a:effectLst/>
              <a:latin typeface="News Gothic MT" charset="0"/>
              <a:ea typeface="News Gothic MT" charset="0"/>
              <a:cs typeface="News Gothic MT" charset="0"/>
            </a:rPr>
            <a:t> The Annual Net Cost (Total) divided by the total number of tons recycled per year. Allows the user to easily compare the cost per ton for each program option.</a:t>
          </a:r>
        </a:p>
        <a:p>
          <a:pPr lvl="0" algn="l"/>
          <a:endParaRPr lang="en-US" sz="1100" b="1">
            <a:solidFill>
              <a:srgbClr val="000000"/>
            </a:solidFill>
            <a:effectLst/>
            <a:latin typeface="News Gothic MT" charset="0"/>
            <a:ea typeface="News Gothic MT" charset="0"/>
            <a:cs typeface="News Gothic MT" charset="0"/>
          </a:endParaRPr>
        </a:p>
        <a:p>
          <a:pPr lvl="0" algn="l"/>
          <a:r>
            <a:rPr lang="en-US" sz="1100" b="1">
              <a:solidFill>
                <a:srgbClr val="000000"/>
              </a:solidFill>
              <a:effectLst/>
              <a:latin typeface="News Gothic MT" charset="0"/>
              <a:ea typeface="News Gothic MT" charset="0"/>
              <a:cs typeface="News Gothic MT" charset="0"/>
            </a:rPr>
            <a:t>7. Cost per Household per Year:</a:t>
          </a:r>
          <a:r>
            <a:rPr lang="en-US" sz="1100">
              <a:solidFill>
                <a:srgbClr val="000000"/>
              </a:solidFill>
              <a:effectLst/>
              <a:latin typeface="News Gothic MT" charset="0"/>
              <a:ea typeface="News Gothic MT" charset="0"/>
              <a:cs typeface="News Gothic MT" charset="0"/>
            </a:rPr>
            <a:t> The Annual Net Cost (Total) divided by the total number of households in the community.</a:t>
          </a:r>
        </a:p>
        <a:p>
          <a:pPr lvl="0" algn="l"/>
          <a:endParaRPr lang="en-US" sz="1100" b="1">
            <a:solidFill>
              <a:srgbClr val="000000"/>
            </a:solidFill>
            <a:effectLst/>
            <a:latin typeface="News Gothic MT" charset="0"/>
            <a:ea typeface="News Gothic MT" charset="0"/>
            <a:cs typeface="News Gothic MT" charset="0"/>
          </a:endParaRPr>
        </a:p>
        <a:p>
          <a:pPr lvl="0" algn="l"/>
          <a:r>
            <a:rPr lang="en-US" sz="1100" b="1">
              <a:solidFill>
                <a:srgbClr val="000000"/>
              </a:solidFill>
              <a:effectLst/>
              <a:latin typeface="News Gothic MT" charset="0"/>
              <a:ea typeface="News Gothic MT" charset="0"/>
              <a:cs typeface="News Gothic MT" charset="0"/>
            </a:rPr>
            <a:t>8. Cost per Ton Recycled:</a:t>
          </a:r>
          <a:r>
            <a:rPr lang="en-US" sz="1100">
              <a:solidFill>
                <a:srgbClr val="000000"/>
              </a:solidFill>
              <a:effectLst/>
              <a:latin typeface="News Gothic MT" charset="0"/>
              <a:ea typeface="News Gothic MT" charset="0"/>
              <a:cs typeface="News Gothic MT" charset="0"/>
            </a:rPr>
            <a:t> The Annual Net Cost (Total) divided by the total number of tons recycled per year. Allows the user to easily compare the cost per ton for each program option.</a:t>
          </a:r>
        </a:p>
      </xdr:txBody>
    </xdr:sp>
    <xdr:clientData/>
  </xdr:twoCellAnchor>
  <xdr:twoCellAnchor>
    <xdr:from>
      <xdr:col>1</xdr:col>
      <xdr:colOff>22128</xdr:colOff>
      <xdr:row>17</xdr:row>
      <xdr:rowOff>129129</xdr:rowOff>
    </xdr:from>
    <xdr:to>
      <xdr:col>9</xdr:col>
      <xdr:colOff>19049</xdr:colOff>
      <xdr:row>22</xdr:row>
      <xdr:rowOff>2770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861578" y="4643979"/>
          <a:ext cx="10664921" cy="730891"/>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0" rIns="182880" bIns="0" rtlCol="0" anchor="ctr"/>
        <a:lstStyle/>
        <a:p>
          <a:r>
            <a:rPr lang="en-US" sz="3200">
              <a:solidFill>
                <a:schemeClr val="bg1"/>
              </a:solidFill>
              <a:latin typeface="Gill Sans MT Condensed" charset="0"/>
              <a:ea typeface="Gill Sans MT Condensed" charset="0"/>
              <a:cs typeface="Gill Sans MT Condensed" charset="0"/>
            </a:rPr>
            <a:t>INTERPRETING YOUR RESULTS</a:t>
          </a: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X:/Users/Aaron%20Burman/AppData/Local/Microsoft/Windows/Temporary%20Internet%20Files/Content.Outlook/M51713IY/192.168.254.1/psfolder/by%20PROJECT/2011%20Projects/Delta-Lansing%20Food%20Waste/Food%20Waste%20Model%204.xls?656411B5" TargetMode="External"/><Relationship Id="rId1" Type="http://schemas.openxmlformats.org/officeDocument/2006/relationships/externalLinkPath" Target="file:///\\656411B5\Food%20Waste%20Model%204.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C:/Users/Aaron%20Burman/AppData/Local/Microsoft/Windows/Temporary%20Internet%20Files/Content.Outlook/M51713IY/192.168.254.1/psfolder/by%20PROJECT/2011%20Projects/Delta-Lansing%20Food%20Waste/Food%20Waste%20Model%204.xls?452A9126" TargetMode="External"/><Relationship Id="rId1" Type="http://schemas.openxmlformats.org/officeDocument/2006/relationships/externalLinkPath" Target="file:///\\452A9126\Food%20Waste%20Model%2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seeds/Shared%20Documents/Mkt%20Dev%20Grant/03%20-%20Project%20Working%20Files/Task%205%20-%20Deep%20Dive%20Siting,%20GHG,%20Transportation%20Analysis/Total%20Generation%20Model%200907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aecom/Shared%20Documents/NYC%20DEP/03%20-%20Project%20Working%20Files/NYC%20AECOM%20Model/Office%20Buildings/Office%20Bldg%20Generation%20Mod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tes/ArchivedProjects/Shared%20Documents/2011%20Eureka%20Organics/Matrix/Processing%20Costs/MCOT%20Compost%20training%20worksheets_1217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tes/swaco/Shared%20Documents/SWACO%20-%20Food%20Waste/Task%201.1%20Data%20Collection%20and%20Analysis/SWACO%20Organics%20Model%20Draft%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hhalliwill\Resource%20Recycling%20Systems\Michigan%20Recycling%20Coalition%20-%20Make%20the%20Case%20for%20Rec%20Mkt%20Dev\03%20-%20Project%20Working%20Files\SEEDSProcessing%20Cost%20Modelv2.2_MR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GIS_DATA/MPP/Distance%20Profiles%20for%20U.S.%20Metropolitan%20Statistical%20Areas%202000%20and%2020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D\Stewardship%20Ontario\1%20-%20BBPP%20FEE%20SETTING\2011\Fee%20Setting\BB%20Material%20Allocation%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sonal fluctuations"/>
      <sheetName val="Residential"/>
      <sheetName val="Commercial"/>
      <sheetName val="Diversion Summary from Surveys"/>
      <sheetName val="Matrix Summary"/>
      <sheetName val="Antrim"/>
      <sheetName val="Benzie"/>
      <sheetName val="Charlevoix"/>
      <sheetName val="Emmet"/>
      <sheetName val="GTC"/>
      <sheetName val="Kalkaska"/>
      <sheetName val="Leelanau"/>
      <sheetName val="Manistee"/>
      <sheetName val="Missaukee"/>
      <sheetName val="Wexford"/>
      <sheetName val="ReFED Matrix"/>
    </sheetNames>
    <sheetDataSet>
      <sheetData sheetId="0"/>
      <sheetData sheetId="1">
        <row r="14">
          <cell r="E14">
            <v>305938</v>
          </cell>
        </row>
      </sheetData>
      <sheetData sheetId="2">
        <row r="4">
          <cell r="BA4">
            <v>218.78393565003731</v>
          </cell>
          <cell r="BB4">
            <v>1693.5425532131649</v>
          </cell>
          <cell r="BE4">
            <v>1912.3264888632023</v>
          </cell>
        </row>
        <row r="5">
          <cell r="BA5">
            <v>166.23459060967744</v>
          </cell>
          <cell r="BB5">
            <v>1286.7734195246444</v>
          </cell>
        </row>
        <row r="6">
          <cell r="BA6">
            <v>245.74216166058545</v>
          </cell>
          <cell r="BB6">
            <v>1902.21830800455</v>
          </cell>
        </row>
        <row r="7">
          <cell r="BA7">
            <v>311.88766653676197</v>
          </cell>
          <cell r="BB7">
            <v>2414.2313444221741</v>
          </cell>
        </row>
        <row r="8">
          <cell r="BA8">
            <v>866.83009950485359</v>
          </cell>
          <cell r="BB8">
            <v>6709.8786551937646</v>
          </cell>
        </row>
        <row r="9">
          <cell r="BA9">
            <v>166.8994166071588</v>
          </cell>
          <cell r="BB9">
            <v>1291.919643418423</v>
          </cell>
        </row>
        <row r="10">
          <cell r="BA10">
            <v>203.79257759415415</v>
          </cell>
          <cell r="BB10">
            <v>1577.4988285097932</v>
          </cell>
        </row>
        <row r="11">
          <cell r="BA11">
            <v>229.67397276371133</v>
          </cell>
          <cell r="BB11">
            <v>1777.8391502337902</v>
          </cell>
        </row>
        <row r="12">
          <cell r="BA12">
            <v>141.51429999910181</v>
          </cell>
          <cell r="BB12">
            <v>1095.4208691080901</v>
          </cell>
        </row>
        <row r="13">
          <cell r="BA13">
            <v>313.36713847481911</v>
          </cell>
          <cell r="BB13">
            <v>2425.6835046364981</v>
          </cell>
        </row>
      </sheetData>
      <sheetData sheetId="3"/>
      <sheetData sheetId="4"/>
      <sheetData sheetId="5">
        <row r="44">
          <cell r="W44">
            <v>0</v>
          </cell>
        </row>
      </sheetData>
      <sheetData sheetId="6">
        <row r="44">
          <cell r="W44">
            <v>0</v>
          </cell>
        </row>
      </sheetData>
      <sheetData sheetId="7">
        <row r="44">
          <cell r="W44">
            <v>364.75716518782122</v>
          </cell>
        </row>
      </sheetData>
      <sheetData sheetId="8">
        <row r="44">
          <cell r="W44">
            <v>950.01312005949478</v>
          </cell>
        </row>
      </sheetData>
      <sheetData sheetId="9">
        <row r="44">
          <cell r="W44">
            <v>2757.0926459053644</v>
          </cell>
        </row>
      </sheetData>
      <sheetData sheetId="10">
        <row r="44">
          <cell r="W44">
            <v>0</v>
          </cell>
        </row>
      </sheetData>
      <sheetData sheetId="11">
        <row r="44">
          <cell r="W44">
            <v>0</v>
          </cell>
        </row>
      </sheetData>
      <sheetData sheetId="12">
        <row r="44">
          <cell r="W44">
            <v>0</v>
          </cell>
        </row>
      </sheetData>
      <sheetData sheetId="13">
        <row r="44">
          <cell r="W44">
            <v>0</v>
          </cell>
        </row>
      </sheetData>
      <sheetData sheetId="14">
        <row r="44">
          <cell r="W44">
            <v>465.13348918517096</v>
          </cell>
        </row>
      </sheetData>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ByBorough_large gen all"/>
      <sheetName val="All"/>
      <sheetName val="Largest Gen List"/>
      <sheetName val="&gt;100K SQFT"/>
      <sheetName val="by Tier"/>
      <sheetName val="Tier Limits"/>
      <sheetName val="by Tier (2)"/>
      <sheetName val="by Tier (3)"/>
      <sheetName val="OfficeByBorough_large gen (4)"/>
      <sheetName val="NYC_Covered_Building_s_List__20"/>
      <sheetName val="Building Code Key"/>
      <sheetName val="Office Bldg Generation Model"/>
      <sheetName val="Column Info"/>
      <sheetName val="Dataset Revision History"/>
      <sheetName val="Drop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t="str">
            <v>Annually</v>
          </cell>
        </row>
        <row r="3">
          <cell r="B3" t="str">
            <v>Biannually</v>
          </cell>
        </row>
        <row r="4">
          <cell r="B4" t="str">
            <v>Triannually</v>
          </cell>
        </row>
        <row r="5">
          <cell r="B5" t="str">
            <v>Quarterly</v>
          </cell>
        </row>
        <row r="6">
          <cell r="B6" t="str">
            <v>Monthly</v>
          </cell>
        </row>
        <row r="7">
          <cell r="B7" t="str">
            <v>Bimonthly</v>
          </cell>
        </row>
        <row r="8">
          <cell r="B8" t="str">
            <v>Weekly</v>
          </cell>
        </row>
        <row r="9">
          <cell r="B9" t="str">
            <v>Biweekly</v>
          </cell>
        </row>
        <row r="10">
          <cell r="B10" t="str">
            <v>Daily</v>
          </cell>
        </row>
        <row r="11">
          <cell r="B11" t="str">
            <v>Several times per day</v>
          </cell>
        </row>
        <row r="12">
          <cell r="B12" t="str">
            <v>As needed</v>
          </cell>
        </row>
        <row r="13">
          <cell r="B13" t="str">
            <v>Historical</v>
          </cell>
        </row>
        <row r="14">
          <cell r="B14" t="str">
            <v>Business</v>
          </cell>
        </row>
        <row r="15">
          <cell r="B15" t="str">
            <v>City Government</v>
          </cell>
        </row>
        <row r="16">
          <cell r="B16" t="str">
            <v>Education</v>
          </cell>
        </row>
        <row r="17">
          <cell r="B17" t="str">
            <v>Environment</v>
          </cell>
        </row>
        <row r="18">
          <cell r="B18" t="str">
            <v>Health</v>
          </cell>
        </row>
        <row r="19">
          <cell r="B19" t="str">
            <v>Housing &amp; Development</v>
          </cell>
        </row>
        <row r="20">
          <cell r="B20" t="str">
            <v>Public Safety</v>
          </cell>
        </row>
        <row r="21">
          <cell r="B21" t="str">
            <v>Recreation</v>
          </cell>
        </row>
        <row r="22">
          <cell r="B22" t="str">
            <v>Social Services</v>
          </cell>
        </row>
        <row r="23">
          <cell r="B23" t="str">
            <v>Transportation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utline &amp; Basic Assumptions"/>
      <sheetName val="2. Single Family Tonnage"/>
      <sheetName val="3. Commercial Tonnage"/>
      <sheetName val="4. Institutional Tonnage"/>
      <sheetName val="5. Technology"/>
      <sheetName val="6. Compost Recipe"/>
      <sheetName val="7. Collection"/>
      <sheetName val="8. Collection Business Case"/>
      <sheetName val="9. Operations Business Case"/>
      <sheetName val="10. Compost Pad Area"/>
    </sheetNames>
    <sheetDataSet>
      <sheetData sheetId="0">
        <row r="26">
          <cell r="B26">
            <v>30000</v>
          </cell>
          <cell r="C26">
            <v>30000</v>
          </cell>
        </row>
        <row r="28">
          <cell r="B28">
            <v>145</v>
          </cell>
          <cell r="C28">
            <v>50</v>
          </cell>
        </row>
      </sheetData>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Estimate"/>
      <sheetName val="SWACO Data"/>
      <sheetName val="Basic Estimate"/>
      <sheetName val="Reference Data"/>
      <sheetName val="Disposal"/>
      <sheetName val="Res &amp; Com YW"/>
      <sheetName val="Res FW"/>
      <sheetName val="Com FW"/>
    </sheetNames>
    <sheetDataSet>
      <sheetData sheetId="0"/>
      <sheetData sheetId="1"/>
      <sheetData sheetId="2">
        <row r="7">
          <cell r="B7">
            <v>64819.469087099998</v>
          </cell>
        </row>
        <row r="15">
          <cell r="B15">
            <v>0.2</v>
          </cell>
          <cell r="C15">
            <v>0.4</v>
          </cell>
          <cell r="D15">
            <v>0.6</v>
          </cell>
        </row>
        <row r="16">
          <cell r="B16">
            <v>0.2</v>
          </cell>
          <cell r="C16">
            <v>0.3</v>
          </cell>
          <cell r="D16">
            <v>0.4</v>
          </cell>
        </row>
        <row r="17">
          <cell r="B17">
            <v>0.3</v>
          </cell>
          <cell r="C17">
            <v>0.5</v>
          </cell>
          <cell r="D17">
            <v>0.75</v>
          </cell>
        </row>
      </sheetData>
      <sheetData sheetId="3">
        <row r="2">
          <cell r="B2" t="str">
            <v>Consumer Education Campaigns</v>
          </cell>
        </row>
      </sheetData>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ility Survey"/>
      <sheetName val="Transportation"/>
      <sheetName val="System Evaluation"/>
      <sheetName val="Matrix Summary"/>
      <sheetName val="Inputs"/>
      <sheetName val="Prevention"/>
      <sheetName val="RescueRecovery"/>
      <sheetName val="Backyard Composting"/>
      <sheetName val="Animal Feed"/>
      <sheetName val="Community Composting"/>
      <sheetName val="ASP Model Emmet"/>
      <sheetName val="ASP Model Keystone"/>
      <sheetName val="Sheet1"/>
      <sheetName val="Windrow Model"/>
      <sheetName val="Composting Morgan"/>
      <sheetName val="ASP Model Full"/>
      <sheetName val="ASP Model"/>
      <sheetName val="Windrow + ASP"/>
      <sheetName val="New ASP Model"/>
      <sheetName val="5. Technology"/>
      <sheetName val="System Evaluation-old"/>
      <sheetName val="ASP Model (2)"/>
      <sheetName val="Windrow Model (2)"/>
    </sheetNames>
    <sheetDataSet>
      <sheetData sheetId="0"/>
      <sheetData sheetId="1"/>
      <sheetData sheetId="2"/>
      <sheetData sheetId="3">
        <row r="118">
          <cell r="AM118">
            <v>3187.4296360078065</v>
          </cell>
          <cell r="AN118">
            <v>1033.2185251656128</v>
          </cell>
          <cell r="AO118">
            <v>8338.1338422134377</v>
          </cell>
          <cell r="AP118">
            <v>3165.7626264879</v>
          </cell>
          <cell r="AQ118">
            <v>2819.7937696490135</v>
          </cell>
          <cell r="AR118">
            <v>521.98218356135885</v>
          </cell>
        </row>
      </sheetData>
      <sheetData sheetId="4"/>
      <sheetData sheetId="5"/>
      <sheetData sheetId="6"/>
      <sheetData sheetId="7"/>
      <sheetData sheetId="8"/>
      <sheetData sheetId="9"/>
      <sheetData sheetId="10"/>
      <sheetData sheetId="11"/>
      <sheetData sheetId="12"/>
      <sheetData sheetId="13">
        <row r="18">
          <cell r="K18">
            <v>15.902340770025431</v>
          </cell>
        </row>
      </sheetData>
      <sheetData sheetId="14"/>
      <sheetData sheetId="15"/>
      <sheetData sheetId="16"/>
      <sheetData sheetId="17"/>
      <sheetData sheetId="18">
        <row r="9">
          <cell r="H9">
            <v>13</v>
          </cell>
        </row>
        <row r="11">
          <cell r="H11">
            <v>65</v>
          </cell>
        </row>
        <row r="12">
          <cell r="H12">
            <v>11.4</v>
          </cell>
        </row>
      </sheetData>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 val="GraphData"/>
      <sheetName val="TableData"/>
      <sheetName val="Pop2010"/>
      <sheetName val="Pop2000"/>
      <sheetName val="Density2010"/>
      <sheetName val="Density2000"/>
    </sheetNames>
    <sheetDataSet>
      <sheetData sheetId="0"/>
      <sheetData sheetId="1"/>
      <sheetData sheetId="2"/>
      <sheetData sheetId="3">
        <row r="5">
          <cell r="A5" t="str">
            <v>Average of all U.S. metro areas</v>
          </cell>
          <cell r="B5">
            <v>13815.327868852459</v>
          </cell>
          <cell r="C5">
            <v>30230.603825136612</v>
          </cell>
          <cell r="D5">
            <v>34316.445355191259</v>
          </cell>
          <cell r="E5">
            <v>34737.330601092894</v>
          </cell>
          <cell r="F5">
            <v>34575.986338797811</v>
          </cell>
          <cell r="G5">
            <v>33918.284153005465</v>
          </cell>
          <cell r="H5">
            <v>32858.857923497271</v>
          </cell>
          <cell r="I5">
            <v>31821.131147540982</v>
          </cell>
          <cell r="J5">
            <v>30727.336065573771</v>
          </cell>
          <cell r="K5">
            <v>30209.852459016394</v>
          </cell>
          <cell r="L5">
            <v>28142.382513661203</v>
          </cell>
          <cell r="M5">
            <v>27565.382513661203</v>
          </cell>
          <cell r="N5">
            <v>25093.355191256829</v>
          </cell>
          <cell r="O5">
            <v>23100.128415300547</v>
          </cell>
          <cell r="P5">
            <v>21521.505464480873</v>
          </cell>
          <cell r="Q5">
            <v>20151.60655737705</v>
          </cell>
          <cell r="R5">
            <v>17874.576502732241</v>
          </cell>
          <cell r="S5">
            <v>16832.234972677597</v>
          </cell>
          <cell r="T5">
            <v>16040.445355191257</v>
          </cell>
          <cell r="U5">
            <v>15318.617486338799</v>
          </cell>
          <cell r="V5">
            <v>14591.628415300547</v>
          </cell>
          <cell r="W5">
            <v>12730.562841530054</v>
          </cell>
          <cell r="X5">
            <v>12517</v>
          </cell>
          <cell r="Y5">
            <v>11829.442622950819</v>
          </cell>
          <cell r="Z5">
            <v>10658.737704918032</v>
          </cell>
          <cell r="AA5">
            <v>9928.7240437158471</v>
          </cell>
          <cell r="AB5">
            <v>8999.5382513661207</v>
          </cell>
          <cell r="AC5">
            <v>9353.5163934426237</v>
          </cell>
          <cell r="AD5">
            <v>8112.9945355191257</v>
          </cell>
          <cell r="AE5">
            <v>7653.3661202185795</v>
          </cell>
          <cell r="AF5">
            <v>6859.0081967213118</v>
          </cell>
          <cell r="AG5">
            <v>5929.8251366120221</v>
          </cell>
          <cell r="AH5">
            <v>5782.4672131147545</v>
          </cell>
          <cell r="AI5">
            <v>5409.3961748633883</v>
          </cell>
          <cell r="AJ5">
            <v>4703.9918032786882</v>
          </cell>
          <cell r="AK5">
            <v>4991.4262295081971</v>
          </cell>
          <cell r="AL5">
            <v>4455.3743169398904</v>
          </cell>
          <cell r="AM5">
            <v>3949.9289617486338</v>
          </cell>
          <cell r="AN5">
            <v>3044.2404371584698</v>
          </cell>
          <cell r="AO5">
            <v>3151.2131147540986</v>
          </cell>
          <cell r="AP5">
            <v>2601.2021857923496</v>
          </cell>
          <cell r="AQ5">
            <v>2049.6912568306011</v>
          </cell>
          <cell r="AR5">
            <v>2380.2677595628415</v>
          </cell>
          <cell r="AS5">
            <v>2197.4890710382515</v>
          </cell>
          <cell r="AT5">
            <v>1867.9972677595629</v>
          </cell>
          <cell r="AU5">
            <v>1643.8934426229507</v>
          </cell>
          <cell r="AV5">
            <v>1664.9125683060108</v>
          </cell>
          <cell r="AW5">
            <v>1446.016393442623</v>
          </cell>
          <cell r="AX5">
            <v>1338.1967213114754</v>
          </cell>
          <cell r="AY5">
            <v>1191.5355191256831</v>
          </cell>
          <cell r="AZ5">
            <v>1154.2267759562842</v>
          </cell>
          <cell r="BA5">
            <v>1084.1967213114754</v>
          </cell>
          <cell r="BB5">
            <v>967.08743169398906</v>
          </cell>
          <cell r="BC5">
            <v>1078.4234972677596</v>
          </cell>
          <cell r="BD5">
            <v>974.50273224043713</v>
          </cell>
          <cell r="BE5">
            <v>685.96448087431691</v>
          </cell>
          <cell r="BF5">
            <v>766.83333333333337</v>
          </cell>
          <cell r="BG5">
            <v>568.67213114754099</v>
          </cell>
          <cell r="BH5">
            <v>445.51912568306011</v>
          </cell>
          <cell r="BI5">
            <v>542.85245901639348</v>
          </cell>
          <cell r="BJ5">
            <v>378.28415300546447</v>
          </cell>
          <cell r="BK5">
            <v>398.48907103825138</v>
          </cell>
          <cell r="BL5">
            <v>355.9863387978142</v>
          </cell>
          <cell r="BM5">
            <v>381.83333333333331</v>
          </cell>
          <cell r="BN5">
            <v>313.57103825136613</v>
          </cell>
          <cell r="BO5">
            <v>341.12841530054646</v>
          </cell>
          <cell r="BP5">
            <v>256.49726775956282</v>
          </cell>
          <cell r="BQ5">
            <v>266.66120218579238</v>
          </cell>
          <cell r="BR5">
            <v>380.21038251366122</v>
          </cell>
          <cell r="BS5">
            <v>207.06284153005464</v>
          </cell>
          <cell r="BT5">
            <v>160.34699453551912</v>
          </cell>
          <cell r="BU5">
            <v>190.51912568306011</v>
          </cell>
          <cell r="BV5">
            <v>158.0655737704918</v>
          </cell>
          <cell r="BW5">
            <v>168.69398907103826</v>
          </cell>
          <cell r="BX5">
            <v>144.41803278688525</v>
          </cell>
          <cell r="BY5">
            <v>93.114754098360649</v>
          </cell>
          <cell r="BZ5">
            <v>145.36612021857923</v>
          </cell>
          <cell r="CA5">
            <v>136.35519125683061</v>
          </cell>
          <cell r="CB5">
            <v>148.01092896174865</v>
          </cell>
          <cell r="CC5">
            <v>64.721311475409834</v>
          </cell>
          <cell r="CD5">
            <v>61.270491803278688</v>
          </cell>
          <cell r="CE5">
            <v>95.125683060109296</v>
          </cell>
          <cell r="CF5">
            <v>162.38251366120218</v>
          </cell>
          <cell r="CG5">
            <v>39.28142076502732</v>
          </cell>
          <cell r="CH5">
            <v>63.16393442622951</v>
          </cell>
          <cell r="CI5">
            <v>73.202185792349724</v>
          </cell>
          <cell r="CJ5">
            <v>27.407103825136613</v>
          </cell>
          <cell r="CK5">
            <v>26.34153005464481</v>
          </cell>
          <cell r="CL5">
            <v>25.6775956284153</v>
          </cell>
          <cell r="CM5">
            <v>6.0027322404371581</v>
          </cell>
          <cell r="CN5">
            <v>19.814207650273225</v>
          </cell>
          <cell r="CO5">
            <v>15.109289617486338</v>
          </cell>
          <cell r="CP5">
            <v>25.352459016393443</v>
          </cell>
          <cell r="CQ5">
            <v>13.494535519125684</v>
          </cell>
          <cell r="CR5">
            <v>12.789617486338798</v>
          </cell>
          <cell r="CS5">
            <v>17.513661202185791</v>
          </cell>
          <cell r="CT5">
            <v>32.595628415300546</v>
          </cell>
          <cell r="CU5">
            <v>40.193989071038253</v>
          </cell>
          <cell r="CV5">
            <v>20.120218579234972</v>
          </cell>
          <cell r="CW5">
            <v>18.71311475409836</v>
          </cell>
          <cell r="CX5">
            <v>19.800546448087431</v>
          </cell>
          <cell r="CY5">
            <v>5.9398907103825138</v>
          </cell>
          <cell r="CZ5">
            <v>5.5655737704918034</v>
          </cell>
          <cell r="DA5">
            <v>5.581967213114754</v>
          </cell>
          <cell r="DB5">
            <v>20.857923497267759</v>
          </cell>
          <cell r="DC5">
            <v>5.0218579234972678</v>
          </cell>
          <cell r="DD5">
            <v>13.816939890710383</v>
          </cell>
          <cell r="DE5">
            <v>17.489071038251367</v>
          </cell>
          <cell r="DF5">
            <v>4.778688524590164</v>
          </cell>
          <cell r="DG5">
            <v>0.45355191256830601</v>
          </cell>
          <cell r="DH5">
            <v>10.377049180327869</v>
          </cell>
          <cell r="DI5">
            <v>4.6120218579234971</v>
          </cell>
          <cell r="DJ5">
            <v>4.1530054644808745</v>
          </cell>
          <cell r="DK5">
            <v>29.647540983606557</v>
          </cell>
          <cell r="DL5">
            <v>0</v>
          </cell>
          <cell r="DN5">
            <v>705786.23770491814</v>
          </cell>
          <cell r="DO5">
            <v>5</v>
          </cell>
        </row>
        <row r="6">
          <cell r="A6" t="str">
            <v>Average of U.S. metro areas of 5,000,000 or more</v>
          </cell>
          <cell r="B6">
            <v>47549.555555555555</v>
          </cell>
          <cell r="C6">
            <v>114217.55555555556</v>
          </cell>
          <cell r="D6">
            <v>172610.44444444444</v>
          </cell>
          <cell r="E6">
            <v>206396.22222222222</v>
          </cell>
          <cell r="F6">
            <v>250568.11111111112</v>
          </cell>
          <cell r="G6">
            <v>303937.88888888888</v>
          </cell>
          <cell r="H6">
            <v>308423.33333333331</v>
          </cell>
          <cell r="I6">
            <v>330373</v>
          </cell>
          <cell r="J6">
            <v>301708.55555555556</v>
          </cell>
          <cell r="K6">
            <v>306900.77777777775</v>
          </cell>
          <cell r="L6">
            <v>315064</v>
          </cell>
          <cell r="M6">
            <v>329271.33333333331</v>
          </cell>
          <cell r="N6">
            <v>300091</v>
          </cell>
          <cell r="O6">
            <v>270626.33333333331</v>
          </cell>
          <cell r="P6">
            <v>249157</v>
          </cell>
          <cell r="Q6">
            <v>249046.22222222222</v>
          </cell>
          <cell r="R6">
            <v>222891</v>
          </cell>
          <cell r="S6">
            <v>201433.11111111112</v>
          </cell>
          <cell r="T6">
            <v>211214.33333333334</v>
          </cell>
          <cell r="U6">
            <v>230821.66666666666</v>
          </cell>
          <cell r="V6">
            <v>219665.22222222222</v>
          </cell>
          <cell r="W6">
            <v>204166.44444444444</v>
          </cell>
          <cell r="X6">
            <v>197340.77777777778</v>
          </cell>
          <cell r="Y6">
            <v>190550.88888888888</v>
          </cell>
          <cell r="Z6">
            <v>167165.77777777778</v>
          </cell>
          <cell r="AA6">
            <v>166288.33333333334</v>
          </cell>
          <cell r="AB6">
            <v>150479.22222222222</v>
          </cell>
          <cell r="AC6">
            <v>164291.33333333334</v>
          </cell>
          <cell r="AD6">
            <v>147400.11111111112</v>
          </cell>
          <cell r="AE6">
            <v>133776.22222222222</v>
          </cell>
          <cell r="AF6">
            <v>121771.33333333333</v>
          </cell>
          <cell r="AG6">
            <v>116633</v>
          </cell>
          <cell r="AH6">
            <v>110456.77777777778</v>
          </cell>
          <cell r="AI6">
            <v>102819.22222222222</v>
          </cell>
          <cell r="AJ6">
            <v>90360.222222222219</v>
          </cell>
          <cell r="AK6">
            <v>101029.66666666667</v>
          </cell>
          <cell r="AL6">
            <v>97602.111111111109</v>
          </cell>
          <cell r="AM6">
            <v>78388.222222222219</v>
          </cell>
          <cell r="AN6">
            <v>61154.666666666664</v>
          </cell>
          <cell r="AO6">
            <v>69660.777777777781</v>
          </cell>
          <cell r="AP6">
            <v>59580.555555555555</v>
          </cell>
          <cell r="AQ6">
            <v>48163.333333333336</v>
          </cell>
          <cell r="AR6">
            <v>61285.111111111109</v>
          </cell>
          <cell r="AS6">
            <v>55332</v>
          </cell>
          <cell r="AT6">
            <v>48206.666666666664</v>
          </cell>
          <cell r="AU6">
            <v>38972.111111111109</v>
          </cell>
          <cell r="AV6">
            <v>42755.777777777781</v>
          </cell>
          <cell r="AW6">
            <v>42046.444444444445</v>
          </cell>
          <cell r="AX6">
            <v>37473.222222222219</v>
          </cell>
          <cell r="AY6">
            <v>32082</v>
          </cell>
          <cell r="AZ6">
            <v>32297.111111111109</v>
          </cell>
          <cell r="BA6">
            <v>27942.666666666668</v>
          </cell>
          <cell r="BB6">
            <v>24641.666666666668</v>
          </cell>
          <cell r="BC6">
            <v>26874.888888888891</v>
          </cell>
          <cell r="BD6">
            <v>23427.777777777777</v>
          </cell>
          <cell r="BE6">
            <v>15568.555555555555</v>
          </cell>
          <cell r="BF6">
            <v>16610.666666666668</v>
          </cell>
          <cell r="BG6">
            <v>14155.888888888889</v>
          </cell>
          <cell r="BH6">
            <v>10223.111111111111</v>
          </cell>
          <cell r="BI6">
            <v>14027.222222222223</v>
          </cell>
          <cell r="BJ6">
            <v>10667.333333333334</v>
          </cell>
          <cell r="BK6">
            <v>12012.555555555555</v>
          </cell>
          <cell r="BL6">
            <v>10346.222222222223</v>
          </cell>
          <cell r="BM6">
            <v>11847.888888888889</v>
          </cell>
          <cell r="BN6">
            <v>9035.5555555555547</v>
          </cell>
          <cell r="BO6">
            <v>6225.1111111111113</v>
          </cell>
          <cell r="BP6">
            <v>7005.666666666667</v>
          </cell>
          <cell r="BQ6">
            <v>6027.4444444444443</v>
          </cell>
          <cell r="BR6">
            <v>10538.666666666666</v>
          </cell>
          <cell r="BS6">
            <v>5311.2222222222226</v>
          </cell>
          <cell r="BT6">
            <v>4866.8888888888887</v>
          </cell>
          <cell r="BU6">
            <v>5056.5555555555557</v>
          </cell>
          <cell r="BV6">
            <v>4150.2222222222226</v>
          </cell>
          <cell r="BW6">
            <v>5091.666666666667</v>
          </cell>
          <cell r="BX6">
            <v>4422.8888888888887</v>
          </cell>
          <cell r="BY6">
            <v>3019.4444444444443</v>
          </cell>
          <cell r="BZ6">
            <v>2953.3333333333335</v>
          </cell>
          <cell r="CA6">
            <v>2293.4444444444443</v>
          </cell>
          <cell r="CB6">
            <v>4666.5555555555557</v>
          </cell>
          <cell r="CC6">
            <v>2122.6666666666665</v>
          </cell>
          <cell r="CD6">
            <v>2021.7777777777778</v>
          </cell>
          <cell r="CE6">
            <v>3239.6666666666665</v>
          </cell>
          <cell r="CF6">
            <v>4241.666666666667</v>
          </cell>
          <cell r="CG6">
            <v>795.11111111111109</v>
          </cell>
          <cell r="CH6">
            <v>1970.7777777777778</v>
          </cell>
          <cell r="CI6">
            <v>2515.2222222222222</v>
          </cell>
          <cell r="CJ6">
            <v>0</v>
          </cell>
          <cell r="CK6">
            <v>0</v>
          </cell>
          <cell r="CL6">
            <v>518.77777777777783</v>
          </cell>
          <cell r="CM6">
            <v>244.11111111111111</v>
          </cell>
          <cell r="CN6">
            <v>614.77777777777783</v>
          </cell>
          <cell r="CO6">
            <v>224.44444444444446</v>
          </cell>
          <cell r="CP6">
            <v>447.66666666666669</v>
          </cell>
          <cell r="CQ6">
            <v>0</v>
          </cell>
          <cell r="CR6">
            <v>0</v>
          </cell>
          <cell r="CS6">
            <v>712.22222222222217</v>
          </cell>
          <cell r="CT6">
            <v>120.33333333333333</v>
          </cell>
          <cell r="CU6">
            <v>1182</v>
          </cell>
          <cell r="CV6">
            <v>0</v>
          </cell>
          <cell r="CW6">
            <v>369.55555555555554</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N6">
            <v>8431848</v>
          </cell>
          <cell r="DO6">
            <v>6</v>
          </cell>
        </row>
        <row r="7">
          <cell r="A7" t="str">
            <v>Average of U.S. metro areas of 2,500,000 to 4,999,999</v>
          </cell>
          <cell r="B7">
            <v>33972</v>
          </cell>
          <cell r="C7">
            <v>76404.083333333328</v>
          </cell>
          <cell r="D7">
            <v>82616.166666666672</v>
          </cell>
          <cell r="E7">
            <v>105947.83333333333</v>
          </cell>
          <cell r="F7">
            <v>125075.08333333333</v>
          </cell>
          <cell r="G7">
            <v>117679.33333333333</v>
          </cell>
          <cell r="H7">
            <v>121134.16666666667</v>
          </cell>
          <cell r="I7">
            <v>137549.75</v>
          </cell>
          <cell r="J7">
            <v>152745.25</v>
          </cell>
          <cell r="K7">
            <v>151953.91666666666</v>
          </cell>
          <cell r="L7">
            <v>148454.83333333334</v>
          </cell>
          <cell r="M7">
            <v>141003.5</v>
          </cell>
          <cell r="N7">
            <v>140067.25</v>
          </cell>
          <cell r="O7">
            <v>140847.91666666666</v>
          </cell>
          <cell r="P7">
            <v>131169</v>
          </cell>
          <cell r="Q7">
            <v>120690.41666666667</v>
          </cell>
          <cell r="R7">
            <v>106651.75</v>
          </cell>
          <cell r="S7">
            <v>103598</v>
          </cell>
          <cell r="T7">
            <v>109492.41666666667</v>
          </cell>
          <cell r="U7">
            <v>98165.916666666672</v>
          </cell>
          <cell r="V7">
            <v>95952.333333333328</v>
          </cell>
          <cell r="W7">
            <v>77987.916666666672</v>
          </cell>
          <cell r="X7">
            <v>83987.333333333328</v>
          </cell>
          <cell r="Y7">
            <v>76650.916666666672</v>
          </cell>
          <cell r="Z7">
            <v>72181.833333333328</v>
          </cell>
          <cell r="AA7">
            <v>60153.75</v>
          </cell>
          <cell r="AB7">
            <v>54866.333333333336</v>
          </cell>
          <cell r="AC7">
            <v>60681.916666666664</v>
          </cell>
          <cell r="AD7">
            <v>52952.166666666664</v>
          </cell>
          <cell r="AE7">
            <v>52649.333333333336</v>
          </cell>
          <cell r="AF7">
            <v>43990.666666666664</v>
          </cell>
          <cell r="AG7">
            <v>30080.666666666668</v>
          </cell>
          <cell r="AH7">
            <v>37111.166666666664</v>
          </cell>
          <cell r="AI7">
            <v>34947.25</v>
          </cell>
          <cell r="AJ7">
            <v>27342.333333333332</v>
          </cell>
          <cell r="AK7">
            <v>37597.75</v>
          </cell>
          <cell r="AL7">
            <v>26027.916666666668</v>
          </cell>
          <cell r="AM7">
            <v>27346.5</v>
          </cell>
          <cell r="AN7">
            <v>19401.583333333332</v>
          </cell>
          <cell r="AO7">
            <v>19928.5</v>
          </cell>
          <cell r="AP7">
            <v>12377.75</v>
          </cell>
          <cell r="AQ7">
            <v>11104.75</v>
          </cell>
          <cell r="AR7">
            <v>10217.166666666666</v>
          </cell>
          <cell r="AS7">
            <v>12926.916666666666</v>
          </cell>
          <cell r="AT7">
            <v>7655.583333333333</v>
          </cell>
          <cell r="AU7">
            <v>11546.666666666666</v>
          </cell>
          <cell r="AV7">
            <v>7403.666666666667</v>
          </cell>
          <cell r="AW7">
            <v>6656.916666666667</v>
          </cell>
          <cell r="AX7">
            <v>6535.416666666667</v>
          </cell>
          <cell r="AY7">
            <v>7370.333333333333</v>
          </cell>
          <cell r="AZ7">
            <v>5782.166666666667</v>
          </cell>
          <cell r="BA7">
            <v>5496.5</v>
          </cell>
          <cell r="BB7">
            <v>4648.166666666667</v>
          </cell>
          <cell r="BC7">
            <v>7577.5</v>
          </cell>
          <cell r="BD7">
            <v>6743.166666666667</v>
          </cell>
          <cell r="BE7">
            <v>3992.8333333333335</v>
          </cell>
          <cell r="BF7">
            <v>5037.833333333333</v>
          </cell>
          <cell r="BG7">
            <v>4498.333333333333</v>
          </cell>
          <cell r="BH7">
            <v>3195.4166666666665</v>
          </cell>
          <cell r="BI7">
            <v>3576.9166666666665</v>
          </cell>
          <cell r="BJ7">
            <v>2922.25</v>
          </cell>
          <cell r="BK7">
            <v>1811.25</v>
          </cell>
          <cell r="BL7">
            <v>1886</v>
          </cell>
          <cell r="BM7">
            <v>2336.8333333333335</v>
          </cell>
          <cell r="BN7">
            <v>2664.3333333333335</v>
          </cell>
          <cell r="BO7">
            <v>4653</v>
          </cell>
          <cell r="BP7">
            <v>2275.5</v>
          </cell>
          <cell r="BQ7">
            <v>3067.5833333333335</v>
          </cell>
          <cell r="BR7">
            <v>2768.1666666666665</v>
          </cell>
          <cell r="BS7">
            <v>1522.1666666666667</v>
          </cell>
          <cell r="BT7">
            <v>1240.4166666666667</v>
          </cell>
          <cell r="BU7">
            <v>1881.3333333333333</v>
          </cell>
          <cell r="BV7">
            <v>877.41666666666663</v>
          </cell>
          <cell r="BW7">
            <v>490</v>
          </cell>
          <cell r="BX7">
            <v>856.66666666666663</v>
          </cell>
          <cell r="BY7">
            <v>368.41666666666669</v>
          </cell>
          <cell r="BZ7">
            <v>1520.4166666666667</v>
          </cell>
          <cell r="CA7">
            <v>703.5</v>
          </cell>
          <cell r="CB7">
            <v>0</v>
          </cell>
          <cell r="CC7">
            <v>0</v>
          </cell>
          <cell r="CD7">
            <v>0</v>
          </cell>
          <cell r="CE7">
            <v>251.5</v>
          </cell>
          <cell r="CF7">
            <v>1141.1666666666667</v>
          </cell>
          <cell r="CG7">
            <v>0</v>
          </cell>
          <cell r="CH7">
            <v>0</v>
          </cell>
          <cell r="CI7">
            <v>0</v>
          </cell>
          <cell r="CJ7">
            <v>320.5</v>
          </cell>
          <cell r="CK7">
            <v>0</v>
          </cell>
          <cell r="CL7">
            <v>0</v>
          </cell>
          <cell r="CM7">
            <v>0</v>
          </cell>
          <cell r="CN7">
            <v>0</v>
          </cell>
          <cell r="CO7">
            <v>0</v>
          </cell>
          <cell r="CP7">
            <v>437.5</v>
          </cell>
          <cell r="CQ7">
            <v>411.58333333333331</v>
          </cell>
          <cell r="CR7">
            <v>390.08333333333331</v>
          </cell>
          <cell r="CS7">
            <v>0</v>
          </cell>
          <cell r="CT7">
            <v>903.91666666666663</v>
          </cell>
          <cell r="CU7">
            <v>0</v>
          </cell>
          <cell r="CV7">
            <v>295.91666666666669</v>
          </cell>
          <cell r="CW7">
            <v>0</v>
          </cell>
          <cell r="CX7">
            <v>0</v>
          </cell>
          <cell r="CY7">
            <v>181.16666666666666</v>
          </cell>
          <cell r="CZ7">
            <v>0</v>
          </cell>
          <cell r="DA7">
            <v>170.25</v>
          </cell>
          <cell r="DB7">
            <v>636.16666666666663</v>
          </cell>
          <cell r="DC7">
            <v>153.16666666666666</v>
          </cell>
          <cell r="DD7">
            <v>421.41666666666669</v>
          </cell>
          <cell r="DE7">
            <v>533.41666666666663</v>
          </cell>
          <cell r="DF7">
            <v>145.75</v>
          </cell>
          <cell r="DG7">
            <v>13.833333333333334</v>
          </cell>
          <cell r="DH7">
            <v>316.5</v>
          </cell>
          <cell r="DI7">
            <v>140.66666666666666</v>
          </cell>
          <cell r="DJ7">
            <v>126.66666666666667</v>
          </cell>
          <cell r="DK7">
            <v>0</v>
          </cell>
          <cell r="DL7">
            <v>0</v>
          </cell>
          <cell r="DN7">
            <v>3522237.1666666637</v>
          </cell>
          <cell r="DO7">
            <v>7</v>
          </cell>
        </row>
        <row r="8">
          <cell r="A8" t="str">
            <v>Average of U.S. metro areas of 1,000,000 to 2,499,999</v>
          </cell>
          <cell r="B8">
            <v>15508.833333333334</v>
          </cell>
          <cell r="C8">
            <v>43996.366666666669</v>
          </cell>
          <cell r="D8">
            <v>67666.766666666663</v>
          </cell>
          <cell r="E8">
            <v>74439</v>
          </cell>
          <cell r="F8">
            <v>85474.166666666672</v>
          </cell>
          <cell r="G8">
            <v>93669.9</v>
          </cell>
          <cell r="H8">
            <v>90686.766666666663</v>
          </cell>
          <cell r="I8">
            <v>88937.866666666669</v>
          </cell>
          <cell r="J8">
            <v>90330.333333333328</v>
          </cell>
          <cell r="K8">
            <v>90320.633333333331</v>
          </cell>
          <cell r="L8">
            <v>80637.899999999994</v>
          </cell>
          <cell r="M8">
            <v>80939.166666666672</v>
          </cell>
          <cell r="N8">
            <v>69006.733333333337</v>
          </cell>
          <cell r="O8">
            <v>59515.3</v>
          </cell>
          <cell r="P8">
            <v>53974.666666666664</v>
          </cell>
          <cell r="Q8">
            <v>50071.533333333333</v>
          </cell>
          <cell r="R8">
            <v>43439.033333333333</v>
          </cell>
          <cell r="S8">
            <v>41997.3</v>
          </cell>
          <cell r="T8">
            <v>34556.800000000003</v>
          </cell>
          <cell r="U8">
            <v>31319.466666666667</v>
          </cell>
          <cell r="V8">
            <v>31296.166666666668</v>
          </cell>
          <cell r="W8">
            <v>25441.1</v>
          </cell>
          <cell r="X8">
            <v>23286.266666666666</v>
          </cell>
          <cell r="Y8">
            <v>21996.066666666666</v>
          </cell>
          <cell r="Z8">
            <v>19153.033333333333</v>
          </cell>
          <cell r="AA8">
            <v>19602.2</v>
          </cell>
          <cell r="AB8">
            <v>19171.466666666667</v>
          </cell>
          <cell r="AC8">
            <v>21678.366666666665</v>
          </cell>
          <cell r="AD8">
            <v>19070.833333333332</v>
          </cell>
          <cell r="AE8">
            <v>15740.133333333333</v>
          </cell>
          <cell r="AF8">
            <v>13298.033333333333</v>
          </cell>
          <cell r="AG8">
            <v>14615.5</v>
          </cell>
          <cell r="AH8">
            <v>12682.233333333334</v>
          </cell>
          <cell r="AI8">
            <v>9673.8333333333339</v>
          </cell>
          <cell r="AJ8">
            <v>9777.4666666666672</v>
          </cell>
          <cell r="AK8">
            <v>6661.5333333333338</v>
          </cell>
          <cell r="AL8">
            <v>7922.5666666666666</v>
          </cell>
          <cell r="AM8">
            <v>7222.0333333333338</v>
          </cell>
          <cell r="AN8">
            <v>5558.6333333333332</v>
          </cell>
          <cell r="AO8">
            <v>4873.8666666666668</v>
          </cell>
          <cell r="AP8">
            <v>4008.8666666666668</v>
          </cell>
          <cell r="AQ8">
            <v>3170.4666666666667</v>
          </cell>
          <cell r="AR8">
            <v>3468.3666666666668</v>
          </cell>
          <cell r="AS8">
            <v>3530</v>
          </cell>
          <cell r="AT8">
            <v>2760.4666666666667</v>
          </cell>
          <cell r="AU8">
            <v>1725.4333333333334</v>
          </cell>
          <cell r="AV8">
            <v>2453.9</v>
          </cell>
          <cell r="AW8">
            <v>1647.2666666666667</v>
          </cell>
          <cell r="AX8">
            <v>1435.9333333333334</v>
          </cell>
          <cell r="AY8">
            <v>1361.6</v>
          </cell>
          <cell r="AZ8">
            <v>1262.5666666666666</v>
          </cell>
          <cell r="BA8">
            <v>1451.3666666666666</v>
          </cell>
          <cell r="BB8">
            <v>1047.0999999999999</v>
          </cell>
          <cell r="BC8">
            <v>1075.5666666666666</v>
          </cell>
          <cell r="BD8">
            <v>974.23333333333335</v>
          </cell>
          <cell r="BE8">
            <v>389.13333333333333</v>
          </cell>
          <cell r="BF8">
            <v>606.23333333333335</v>
          </cell>
          <cell r="BG8">
            <v>0</v>
          </cell>
          <cell r="BH8">
            <v>477</v>
          </cell>
          <cell r="BI8">
            <v>188.4</v>
          </cell>
          <cell r="BJ8">
            <v>0</v>
          </cell>
          <cell r="BK8">
            <v>227.5</v>
          </cell>
          <cell r="BL8">
            <v>0</v>
          </cell>
          <cell r="BM8">
            <v>0</v>
          </cell>
          <cell r="BN8">
            <v>0</v>
          </cell>
          <cell r="BO8">
            <v>141.56666666666666</v>
          </cell>
          <cell r="BP8">
            <v>0</v>
          </cell>
          <cell r="BQ8">
            <v>143.43333333333334</v>
          </cell>
          <cell r="BR8">
            <v>4.4333333333333336</v>
          </cell>
          <cell r="BS8">
            <v>95.666666666666671</v>
          </cell>
          <cell r="BT8">
            <v>0</v>
          </cell>
          <cell r="BU8">
            <v>54.833333333333336</v>
          </cell>
          <cell r="BV8">
            <v>119.43333333333334</v>
          </cell>
          <cell r="BW8">
            <v>125.4</v>
          </cell>
          <cell r="BX8">
            <v>71.7</v>
          </cell>
          <cell r="BY8">
            <v>82.8</v>
          </cell>
          <cell r="BZ8">
            <v>0</v>
          </cell>
          <cell r="CA8">
            <v>251.53333333333333</v>
          </cell>
          <cell r="CB8">
            <v>0</v>
          </cell>
          <cell r="CC8">
            <v>81.5</v>
          </cell>
          <cell r="CD8">
            <v>65.86666666666666</v>
          </cell>
          <cell r="CE8">
            <v>88.033333333333331</v>
          </cell>
          <cell r="CF8">
            <v>120.43333333333334</v>
          </cell>
          <cell r="CG8">
            <v>240.7</v>
          </cell>
          <cell r="CH8">
            <v>179.36666666666667</v>
          </cell>
          <cell r="CI8">
            <v>138.5</v>
          </cell>
          <cell r="CJ8">
            <v>159.1</v>
          </cell>
          <cell r="CK8">
            <v>321.36666666666667</v>
          </cell>
          <cell r="CL8">
            <v>0</v>
          </cell>
          <cell r="CM8">
            <v>0</v>
          </cell>
          <cell r="CN8">
            <v>57.3</v>
          </cell>
          <cell r="CO8">
            <v>117</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N8">
            <v>1631131.2333333341</v>
          </cell>
          <cell r="DO8">
            <v>8</v>
          </cell>
        </row>
        <row r="9">
          <cell r="A9" t="str">
            <v>Average of U.S. metro areas of 500,000 to 999,999</v>
          </cell>
          <cell r="B9">
            <v>16042.235294117647</v>
          </cell>
          <cell r="C9">
            <v>36828.627450980392</v>
          </cell>
          <cell r="D9">
            <v>43659</v>
          </cell>
          <cell r="E9">
            <v>45392.509803921566</v>
          </cell>
          <cell r="F9">
            <v>44223.882352941175</v>
          </cell>
          <cell r="G9">
            <v>41545.23529411765</v>
          </cell>
          <cell r="H9">
            <v>42551.705882352944</v>
          </cell>
          <cell r="I9">
            <v>36147.76470588235</v>
          </cell>
          <cell r="J9">
            <v>33594.431372549021</v>
          </cell>
          <cell r="K9">
            <v>35494.294117647056</v>
          </cell>
          <cell r="L9">
            <v>27406.941176470587</v>
          </cell>
          <cell r="M9">
            <v>26520.039215686276</v>
          </cell>
          <cell r="N9">
            <v>25090.215686274511</v>
          </cell>
          <cell r="O9">
            <v>21900.843137254902</v>
          </cell>
          <cell r="P9">
            <v>20644.313725490196</v>
          </cell>
          <cell r="Q9">
            <v>18199.333333333332</v>
          </cell>
          <cell r="R9">
            <v>15476.980392156862</v>
          </cell>
          <cell r="S9">
            <v>18324.745098039217</v>
          </cell>
          <cell r="T9">
            <v>14314.509803921568</v>
          </cell>
          <cell r="U9">
            <v>13416.450980392157</v>
          </cell>
          <cell r="V9">
            <v>12923.215686274511</v>
          </cell>
          <cell r="W9">
            <v>10274.137254901962</v>
          </cell>
          <cell r="X9">
            <v>9101.8039215686276</v>
          </cell>
          <cell r="Y9">
            <v>9858.0392156862745</v>
          </cell>
          <cell r="Z9">
            <v>7830.1176470588234</v>
          </cell>
          <cell r="AA9">
            <v>7968.1176470588234</v>
          </cell>
          <cell r="AB9">
            <v>6789.5098039215691</v>
          </cell>
          <cell r="AC9">
            <v>6604.6078431372553</v>
          </cell>
          <cell r="AD9">
            <v>4258.6274509803925</v>
          </cell>
          <cell r="AE9">
            <v>5123.0196078431372</v>
          </cell>
          <cell r="AF9">
            <v>4926.4901960784309</v>
          </cell>
          <cell r="AG9">
            <v>3508.4117647058824</v>
          </cell>
          <cell r="AH9">
            <v>3374.6470588235293</v>
          </cell>
          <cell r="AI9">
            <v>3393.9411764705883</v>
          </cell>
          <cell r="AJ9">
            <v>3978.7843137254904</v>
          </cell>
          <cell r="AK9">
            <v>3636.4901960784314</v>
          </cell>
          <cell r="AL9">
            <v>2716.4901960784314</v>
          </cell>
          <cell r="AM9">
            <v>2499.9411764705883</v>
          </cell>
          <cell r="AN9">
            <v>2187.3333333333335</v>
          </cell>
          <cell r="AO9">
            <v>2188.7450980392155</v>
          </cell>
          <cell r="AP9">
            <v>1955.0784313725489</v>
          </cell>
          <cell r="AQ9">
            <v>831.1960784313726</v>
          </cell>
          <cell r="AR9">
            <v>1157.6078431372548</v>
          </cell>
          <cell r="AS9">
            <v>228.56862745098039</v>
          </cell>
          <cell r="AT9">
            <v>901.68627450980387</v>
          </cell>
          <cell r="AU9">
            <v>655.68627450980387</v>
          </cell>
          <cell r="AV9">
            <v>297.01960784313724</v>
          </cell>
          <cell r="AW9">
            <v>222.98039215686273</v>
          </cell>
          <cell r="AX9">
            <v>290.13725490196077</v>
          </cell>
          <cell r="AY9">
            <v>201.13725490196077</v>
          </cell>
          <cell r="AZ9">
            <v>195.62745098039215</v>
          </cell>
          <cell r="BA9">
            <v>93.529411764705884</v>
          </cell>
          <cell r="BB9">
            <v>285.43137254901961</v>
          </cell>
          <cell r="BC9">
            <v>0</v>
          </cell>
          <cell r="BD9">
            <v>0</v>
          </cell>
          <cell r="BE9">
            <v>0</v>
          </cell>
          <cell r="BF9">
            <v>205.09803921568627</v>
          </cell>
          <cell r="BG9">
            <v>0</v>
          </cell>
          <cell r="BH9">
            <v>45.450980392156865</v>
          </cell>
          <cell r="BI9">
            <v>240.05882352941177</v>
          </cell>
          <cell r="BJ9">
            <v>144.68627450980392</v>
          </cell>
          <cell r="BK9">
            <v>82.313725490196077</v>
          </cell>
          <cell r="BL9">
            <v>141.13725490196077</v>
          </cell>
          <cell r="BM9">
            <v>25.490196078431371</v>
          </cell>
          <cell r="BN9">
            <v>0</v>
          </cell>
          <cell r="BO9">
            <v>101.01960784313725</v>
          </cell>
          <cell r="BP9">
            <v>0</v>
          </cell>
          <cell r="BQ9">
            <v>1.0980392156862746</v>
          </cell>
          <cell r="BR9">
            <v>43.647058823529413</v>
          </cell>
          <cell r="BS9">
            <v>52.313725490196077</v>
          </cell>
          <cell r="BT9">
            <v>0</v>
          </cell>
          <cell r="BU9">
            <v>0</v>
          </cell>
          <cell r="BV9">
            <v>0</v>
          </cell>
          <cell r="BW9">
            <v>123.03921568627452</v>
          </cell>
          <cell r="BX9">
            <v>0</v>
          </cell>
          <cell r="BY9">
            <v>0</v>
          </cell>
          <cell r="BZ9">
            <v>164.29411764705881</v>
          </cell>
          <cell r="CA9">
            <v>219.47058823529412</v>
          </cell>
          <cell r="CB9">
            <v>130.8235294117647</v>
          </cell>
          <cell r="CC9">
            <v>41.941176470588232</v>
          </cell>
          <cell r="CD9">
            <v>44.176470588235297</v>
          </cell>
          <cell r="CE9">
            <v>0</v>
          </cell>
          <cell r="CF9">
            <v>0</v>
          </cell>
          <cell r="CG9">
            <v>0</v>
          </cell>
          <cell r="CH9">
            <v>0</v>
          </cell>
          <cell r="CI9">
            <v>0</v>
          </cell>
          <cell r="CJ9">
            <v>27.686274509803923</v>
          </cell>
          <cell r="CK9">
            <v>0</v>
          </cell>
          <cell r="CL9">
            <v>0</v>
          </cell>
          <cell r="CM9">
            <v>0</v>
          </cell>
          <cell r="CN9">
            <v>0</v>
          </cell>
          <cell r="CO9">
            <v>0</v>
          </cell>
          <cell r="CP9">
            <v>0</v>
          </cell>
          <cell r="CQ9">
            <v>0</v>
          </cell>
          <cell r="CR9">
            <v>0</v>
          </cell>
          <cell r="CS9">
            <v>0</v>
          </cell>
          <cell r="CT9">
            <v>0</v>
          </cell>
          <cell r="CU9">
            <v>0</v>
          </cell>
          <cell r="CV9">
            <v>0</v>
          </cell>
          <cell r="CW9">
            <v>69.078431372549019</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N9">
            <v>699135.0392156858</v>
          </cell>
          <cell r="DO9">
            <v>9</v>
          </cell>
        </row>
        <row r="10">
          <cell r="A10" t="str">
            <v>Average of U.S. metro areas of 250,000 to 499,999</v>
          </cell>
          <cell r="B10">
            <v>12281.646341463415</v>
          </cell>
          <cell r="C10">
            <v>26982.378048780487</v>
          </cell>
          <cell r="D10">
            <v>31596.975609756097</v>
          </cell>
          <cell r="E10">
            <v>29316.853658536584</v>
          </cell>
          <cell r="F10">
            <v>26435.426829268294</v>
          </cell>
          <cell r="G10">
            <v>23297.121951219513</v>
          </cell>
          <cell r="H10">
            <v>19493.90243902439</v>
          </cell>
          <cell r="I10">
            <v>17716.951219512193</v>
          </cell>
          <cell r="J10">
            <v>15835.207317073171</v>
          </cell>
          <cell r="K10">
            <v>13212.817073170732</v>
          </cell>
          <cell r="L10">
            <v>12667.475609756097</v>
          </cell>
          <cell r="M10">
            <v>11012.304878048781</v>
          </cell>
          <cell r="N10">
            <v>9513.5</v>
          </cell>
          <cell r="O10">
            <v>10668.292682926829</v>
          </cell>
          <cell r="P10">
            <v>9363.3536585365855</v>
          </cell>
          <cell r="Q10">
            <v>9347.378048780487</v>
          </cell>
          <cell r="R10">
            <v>9192.2560975609758</v>
          </cell>
          <cell r="S10">
            <v>6105.4268292682927</v>
          </cell>
          <cell r="T10">
            <v>6180.6707317073169</v>
          </cell>
          <cell r="U10">
            <v>5495.7804878048782</v>
          </cell>
          <cell r="V10">
            <v>4270.3292682926831</v>
          </cell>
          <cell r="W10">
            <v>4451.5731707317073</v>
          </cell>
          <cell r="X10">
            <v>4750.4878048780483</v>
          </cell>
          <cell r="Y10">
            <v>3779.8536585365855</v>
          </cell>
          <cell r="Z10">
            <v>4507.5609756097565</v>
          </cell>
          <cell r="AA10">
            <v>2845.0975609756097</v>
          </cell>
          <cell r="AB10">
            <v>2738.6097560975609</v>
          </cell>
          <cell r="AC10">
            <v>1847.2682926829268</v>
          </cell>
          <cell r="AD10">
            <v>1282.219512195122</v>
          </cell>
          <cell r="AE10">
            <v>1613.4268292682927</v>
          </cell>
          <cell r="AF10">
            <v>1653.4756097560976</v>
          </cell>
          <cell r="AG10">
            <v>1326.5365853658536</v>
          </cell>
          <cell r="AH10">
            <v>911.03658536585363</v>
          </cell>
          <cell r="AI10">
            <v>1336.9146341463415</v>
          </cell>
          <cell r="AJ10">
            <v>548.85365853658539</v>
          </cell>
          <cell r="AK10">
            <v>711.36585365853659</v>
          </cell>
          <cell r="AL10">
            <v>409</v>
          </cell>
          <cell r="AM10">
            <v>385.35365853658539</v>
          </cell>
          <cell r="AN10">
            <v>473.86585365853659</v>
          </cell>
          <cell r="AO10">
            <v>199.91463414634146</v>
          </cell>
          <cell r="AP10">
            <v>181.57317073170731</v>
          </cell>
          <cell r="AQ10">
            <v>129.45121951219511</v>
          </cell>
          <cell r="AR10">
            <v>211.8780487804878</v>
          </cell>
          <cell r="AS10">
            <v>225.53658536585365</v>
          </cell>
          <cell r="AT10">
            <v>40.31707317073171</v>
          </cell>
          <cell r="AU10">
            <v>217.34146341463415</v>
          </cell>
          <cell r="AV10">
            <v>347.91463414634148</v>
          </cell>
          <cell r="AW10">
            <v>27.634146341463413</v>
          </cell>
          <cell r="AX10">
            <v>197.8170731707317</v>
          </cell>
          <cell r="AY10">
            <v>71</v>
          </cell>
          <cell r="AZ10">
            <v>103.97560975609755</v>
          </cell>
          <cell r="BA10">
            <v>299.26829268292681</v>
          </cell>
          <cell r="BB10">
            <v>232.35365853658536</v>
          </cell>
          <cell r="BC10">
            <v>149.89024390243901</v>
          </cell>
          <cell r="BD10">
            <v>257.08536585365852</v>
          </cell>
          <cell r="BE10">
            <v>565.40243902439022</v>
          </cell>
          <cell r="BF10">
            <v>377.67073170731709</v>
          </cell>
          <cell r="BG10">
            <v>258.57317073170731</v>
          </cell>
          <cell r="BH10">
            <v>105.34146341463415</v>
          </cell>
          <cell r="BI10">
            <v>86.853658536585371</v>
          </cell>
          <cell r="BJ10">
            <v>0</v>
          </cell>
          <cell r="BK10">
            <v>60.68292682926829</v>
          </cell>
          <cell r="BL10">
            <v>89.573170731707322</v>
          </cell>
          <cell r="BM10">
            <v>46.073170731707314</v>
          </cell>
          <cell r="BN10">
            <v>17.987804878048781</v>
          </cell>
          <cell r="BO10">
            <v>0</v>
          </cell>
          <cell r="BP10">
            <v>42.939024390243901</v>
          </cell>
          <cell r="BQ10">
            <v>26.597560975609756</v>
          </cell>
          <cell r="BR10">
            <v>0</v>
          </cell>
          <cell r="BS10">
            <v>0</v>
          </cell>
          <cell r="BT10">
            <v>0</v>
          </cell>
          <cell r="BU10">
            <v>0</v>
          </cell>
          <cell r="BV10">
            <v>77.902439024390247</v>
          </cell>
          <cell r="BW10">
            <v>0</v>
          </cell>
          <cell r="BX10">
            <v>7.5609756097560972</v>
          </cell>
          <cell r="BY10">
            <v>0</v>
          </cell>
          <cell r="BZ10">
            <v>0</v>
          </cell>
          <cell r="CA10">
            <v>0</v>
          </cell>
          <cell r="CB10">
            <v>42.073170731707314</v>
          </cell>
          <cell r="CC10">
            <v>0</v>
          </cell>
          <cell r="CD10">
            <v>0</v>
          </cell>
          <cell r="CE10">
            <v>0</v>
          </cell>
          <cell r="CF10">
            <v>0</v>
          </cell>
          <cell r="CG10">
            <v>0</v>
          </cell>
          <cell r="CH10">
            <v>0</v>
          </cell>
          <cell r="CI10">
            <v>0</v>
          </cell>
          <cell r="CJ10">
            <v>0</v>
          </cell>
          <cell r="CK10">
            <v>0</v>
          </cell>
          <cell r="CL10">
            <v>41.963414634146339</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N10">
            <v>350298.69512195111</v>
          </cell>
          <cell r="DO10">
            <v>10</v>
          </cell>
        </row>
        <row r="11">
          <cell r="A11" t="str">
            <v>Average of U.S. metro areas of less than 250,000</v>
          </cell>
          <cell r="B11">
            <v>10605.967032967033</v>
          </cell>
          <cell r="C11">
            <v>20378.505494505494</v>
          </cell>
          <cell r="D11">
            <v>17403.115384615383</v>
          </cell>
          <cell r="E11">
            <v>14465.675824175823</v>
          </cell>
          <cell r="F11">
            <v>10502.467032967033</v>
          </cell>
          <cell r="G11">
            <v>7841.9285714285716</v>
          </cell>
          <cell r="H11">
            <v>7185.065934065934</v>
          </cell>
          <cell r="I11">
            <v>5813.8351648351645</v>
          </cell>
          <cell r="J11">
            <v>5363.5824175824173</v>
          </cell>
          <cell r="K11">
            <v>4769.0824175824173</v>
          </cell>
          <cell r="L11">
            <v>4546.4505494505493</v>
          </cell>
          <cell r="M11">
            <v>4119.4505494505493</v>
          </cell>
          <cell r="N11">
            <v>3695.7802197802198</v>
          </cell>
          <cell r="O11">
            <v>3030.9505494505493</v>
          </cell>
          <cell r="P11">
            <v>3409.532967032967</v>
          </cell>
          <cell r="Q11">
            <v>2686.7582417582416</v>
          </cell>
          <cell r="R11">
            <v>2252.7087912087914</v>
          </cell>
          <cell r="S11">
            <v>2249.4395604395604</v>
          </cell>
          <cell r="T11">
            <v>2101.131868131868</v>
          </cell>
          <cell r="U11">
            <v>1520.6098901098901</v>
          </cell>
          <cell r="V11">
            <v>1450.467032967033</v>
          </cell>
          <cell r="W11">
            <v>1284.5604395604396</v>
          </cell>
          <cell r="X11">
            <v>1346.0824175824175</v>
          </cell>
          <cell r="Y11">
            <v>1220.9725274725274</v>
          </cell>
          <cell r="Z11">
            <v>1026.7967032967033</v>
          </cell>
          <cell r="AA11">
            <v>1031.5109890109891</v>
          </cell>
          <cell r="AB11">
            <v>742.56593406593402</v>
          </cell>
          <cell r="AC11">
            <v>428.13186813186815</v>
          </cell>
          <cell r="AD11">
            <v>620.17582417582423</v>
          </cell>
          <cell r="AE11">
            <v>547.11538461538464</v>
          </cell>
          <cell r="AF11">
            <v>553.79120879120876</v>
          </cell>
          <cell r="AG11">
            <v>183.96153846153845</v>
          </cell>
          <cell r="AH11">
            <v>272.85164835164835</v>
          </cell>
          <cell r="AI11">
            <v>341.57142857142856</v>
          </cell>
          <cell r="AJ11">
            <v>214.63186813186815</v>
          </cell>
          <cell r="AK11">
            <v>125.18131868131869</v>
          </cell>
          <cell r="AL11">
            <v>165.69780219780219</v>
          </cell>
          <cell r="AM11">
            <v>199.25824175824175</v>
          </cell>
          <cell r="AN11">
            <v>75.884615384615387</v>
          </cell>
          <cell r="AO11">
            <v>71.538461538461533</v>
          </cell>
          <cell r="AP11">
            <v>178.12087912087912</v>
          </cell>
          <cell r="AQ11">
            <v>194.17582417582418</v>
          </cell>
          <cell r="AR11">
            <v>90.895604395604394</v>
          </cell>
          <cell r="AS11">
            <v>83.071428571428569</v>
          </cell>
          <cell r="AT11">
            <v>142.05494505494505</v>
          </cell>
          <cell r="AU11">
            <v>51.269230769230766</v>
          </cell>
          <cell r="AV11">
            <v>101.1978021978022</v>
          </cell>
          <cell r="AW11">
            <v>43.324175824175825</v>
          </cell>
          <cell r="AX11">
            <v>0</v>
          </cell>
          <cell r="AY11">
            <v>10.945054945054945</v>
          </cell>
          <cell r="AZ11">
            <v>33.005494505494504</v>
          </cell>
          <cell r="BA11">
            <v>35.840659340659343</v>
          </cell>
          <cell r="BB11">
            <v>62.516483516483518</v>
          </cell>
          <cell r="BC11">
            <v>95.280219780219781</v>
          </cell>
          <cell r="BD11">
            <v>80.175824175824175</v>
          </cell>
          <cell r="BE11">
            <v>27.445054945054945</v>
          </cell>
          <cell r="BF11">
            <v>60.96153846153846</v>
          </cell>
          <cell r="BG11">
            <v>30.483516483516482</v>
          </cell>
          <cell r="BH11">
            <v>40.884615384615387</v>
          </cell>
          <cell r="BI11">
            <v>24.719780219780219</v>
          </cell>
          <cell r="BJ11">
            <v>0</v>
          </cell>
          <cell r="BK11">
            <v>0</v>
          </cell>
          <cell r="BL11">
            <v>0</v>
          </cell>
          <cell r="BM11">
            <v>0</v>
          </cell>
          <cell r="BN11">
            <v>0</v>
          </cell>
          <cell r="BO11">
            <v>19.736263736263737</v>
          </cell>
          <cell r="BP11">
            <v>0</v>
          </cell>
          <cell r="BQ11">
            <v>0</v>
          </cell>
          <cell r="BR11">
            <v>47.978021978021978</v>
          </cell>
          <cell r="BS11">
            <v>22.967032967032967</v>
          </cell>
          <cell r="BT11">
            <v>0</v>
          </cell>
          <cell r="BU11">
            <v>0</v>
          </cell>
          <cell r="BV11">
            <v>0</v>
          </cell>
          <cell r="BW11">
            <v>0</v>
          </cell>
          <cell r="BX11">
            <v>0</v>
          </cell>
          <cell r="BY11">
            <v>0</v>
          </cell>
          <cell r="BZ11">
            <v>0</v>
          </cell>
          <cell r="CA11">
            <v>11.450549450549451</v>
          </cell>
          <cell r="CB11">
            <v>11.26923076923077</v>
          </cell>
          <cell r="CC11">
            <v>0</v>
          </cell>
          <cell r="CD11">
            <v>0</v>
          </cell>
          <cell r="CE11">
            <v>0</v>
          </cell>
          <cell r="CF11">
            <v>21.703296703296704</v>
          </cell>
          <cell r="CG11">
            <v>0</v>
          </cell>
          <cell r="CH11">
            <v>0</v>
          </cell>
          <cell r="CI11">
            <v>0</v>
          </cell>
          <cell r="CJ11">
            <v>0</v>
          </cell>
          <cell r="CK11">
            <v>0</v>
          </cell>
          <cell r="CL11">
            <v>7.0769230769230766</v>
          </cell>
          <cell r="CM11">
            <v>0</v>
          </cell>
          <cell r="CN11">
            <v>0</v>
          </cell>
          <cell r="CO11">
            <v>0</v>
          </cell>
          <cell r="CP11">
            <v>0</v>
          </cell>
          <cell r="CQ11">
            <v>0</v>
          </cell>
          <cell r="CR11">
            <v>0</v>
          </cell>
          <cell r="CS11">
            <v>0</v>
          </cell>
          <cell r="CT11">
            <v>0</v>
          </cell>
          <cell r="CU11">
            <v>22.37912087912088</v>
          </cell>
          <cell r="CV11">
            <v>20.950549450549449</v>
          </cell>
          <cell r="CW11">
            <v>0</v>
          </cell>
          <cell r="CX11">
            <v>39.818681318681321</v>
          </cell>
          <cell r="CY11">
            <v>0</v>
          </cell>
          <cell r="CZ11">
            <v>11.192307692307692</v>
          </cell>
          <cell r="DA11">
            <v>0</v>
          </cell>
          <cell r="DB11">
            <v>0</v>
          </cell>
          <cell r="DC11">
            <v>0</v>
          </cell>
          <cell r="DD11">
            <v>0</v>
          </cell>
          <cell r="DE11">
            <v>0</v>
          </cell>
          <cell r="DF11">
            <v>0</v>
          </cell>
          <cell r="DG11">
            <v>0</v>
          </cell>
          <cell r="DH11">
            <v>0</v>
          </cell>
          <cell r="DI11">
            <v>0</v>
          </cell>
          <cell r="DJ11">
            <v>0</v>
          </cell>
          <cell r="DK11">
            <v>59.620879120879124</v>
          </cell>
          <cell r="DL11">
            <v>0</v>
          </cell>
          <cell r="DN11">
            <v>147527.29670329666</v>
          </cell>
          <cell r="DO11">
            <v>11</v>
          </cell>
        </row>
        <row r="12">
          <cell r="A12" t="str">
            <v>Abilene, TX Metro Area</v>
          </cell>
          <cell r="B12">
            <v>8125</v>
          </cell>
          <cell r="C12">
            <v>30353</v>
          </cell>
          <cell r="D12">
            <v>28226</v>
          </cell>
          <cell r="E12">
            <v>14794</v>
          </cell>
          <cell r="F12">
            <v>18405</v>
          </cell>
          <cell r="G12">
            <v>2242</v>
          </cell>
          <cell r="H12">
            <v>16629</v>
          </cell>
          <cell r="J12">
            <v>2031</v>
          </cell>
          <cell r="K12">
            <v>4394</v>
          </cell>
          <cell r="N12">
            <v>4543</v>
          </cell>
          <cell r="P12">
            <v>9965</v>
          </cell>
          <cell r="Q12">
            <v>12732</v>
          </cell>
          <cell r="Y12">
            <v>2649</v>
          </cell>
          <cell r="AD12">
            <v>4257</v>
          </cell>
          <cell r="AI12">
            <v>3497</v>
          </cell>
          <cell r="AM12">
            <v>2410</v>
          </cell>
          <cell r="DN12">
            <v>165252</v>
          </cell>
          <cell r="DO12">
            <v>12</v>
          </cell>
        </row>
        <row r="13">
          <cell r="A13" t="str">
            <v>Akron, OH Metro Area</v>
          </cell>
          <cell r="B13">
            <v>12479</v>
          </cell>
          <cell r="C13">
            <v>41236</v>
          </cell>
          <cell r="D13">
            <v>68680</v>
          </cell>
          <cell r="E13">
            <v>55279</v>
          </cell>
          <cell r="F13">
            <v>50151</v>
          </cell>
          <cell r="G13">
            <v>68962</v>
          </cell>
          <cell r="H13">
            <v>41207</v>
          </cell>
          <cell r="I13">
            <v>42612</v>
          </cell>
          <cell r="J13">
            <v>36646</v>
          </cell>
          <cell r="K13">
            <v>62043</v>
          </cell>
          <cell r="L13">
            <v>23415</v>
          </cell>
          <cell r="M13">
            <v>22094</v>
          </cell>
          <cell r="N13">
            <v>2619</v>
          </cell>
          <cell r="O13">
            <v>15217</v>
          </cell>
          <cell r="P13">
            <v>35662</v>
          </cell>
          <cell r="Q13">
            <v>29126</v>
          </cell>
          <cell r="R13">
            <v>5453</v>
          </cell>
          <cell r="S13">
            <v>24303</v>
          </cell>
          <cell r="T13">
            <v>20451</v>
          </cell>
          <cell r="U13">
            <v>16019</v>
          </cell>
          <cell r="W13">
            <v>5854</v>
          </cell>
          <cell r="X13">
            <v>2843</v>
          </cell>
          <cell r="Z13">
            <v>5741</v>
          </cell>
          <cell r="AA13">
            <v>5561</v>
          </cell>
          <cell r="AC13">
            <v>9547</v>
          </cell>
          <cell r="DN13">
            <v>703200</v>
          </cell>
          <cell r="DO13">
            <v>13</v>
          </cell>
        </row>
        <row r="14">
          <cell r="A14" t="str">
            <v>Albany, GA Metro Area</v>
          </cell>
          <cell r="B14">
            <v>3164</v>
          </cell>
          <cell r="C14">
            <v>19585</v>
          </cell>
          <cell r="D14">
            <v>21829</v>
          </cell>
          <cell r="E14">
            <v>16371</v>
          </cell>
          <cell r="F14">
            <v>20338</v>
          </cell>
          <cell r="G14">
            <v>8071</v>
          </cell>
          <cell r="H14">
            <v>6606</v>
          </cell>
          <cell r="I14">
            <v>16892</v>
          </cell>
          <cell r="J14">
            <v>1708</v>
          </cell>
          <cell r="L14">
            <v>6712</v>
          </cell>
          <cell r="O14">
            <v>1407</v>
          </cell>
          <cell r="R14">
            <v>11757</v>
          </cell>
          <cell r="S14">
            <v>5332</v>
          </cell>
          <cell r="V14">
            <v>1587</v>
          </cell>
          <cell r="W14">
            <v>3137</v>
          </cell>
          <cell r="X14">
            <v>5442</v>
          </cell>
          <cell r="Z14">
            <v>4590</v>
          </cell>
          <cell r="AA14">
            <v>1527</v>
          </cell>
          <cell r="AF14">
            <v>1253</v>
          </cell>
          <cell r="DN14">
            <v>157308</v>
          </cell>
          <cell r="DO14">
            <v>14</v>
          </cell>
        </row>
        <row r="15">
          <cell r="A15" t="str">
            <v>Albany-Schenectady-Troy, NY Metro Area</v>
          </cell>
          <cell r="B15">
            <v>20435</v>
          </cell>
          <cell r="C15">
            <v>57971</v>
          </cell>
          <cell r="D15">
            <v>22353</v>
          </cell>
          <cell r="E15">
            <v>33326</v>
          </cell>
          <cell r="F15">
            <v>45687</v>
          </cell>
          <cell r="G15">
            <v>51921</v>
          </cell>
          <cell r="H15">
            <v>49395</v>
          </cell>
          <cell r="I15">
            <v>12051</v>
          </cell>
          <cell r="J15">
            <v>60918</v>
          </cell>
          <cell r="K15">
            <v>35057</v>
          </cell>
          <cell r="L15">
            <v>30520</v>
          </cell>
          <cell r="M15">
            <v>19360</v>
          </cell>
          <cell r="N15">
            <v>45162</v>
          </cell>
          <cell r="O15">
            <v>47703</v>
          </cell>
          <cell r="P15">
            <v>47592</v>
          </cell>
          <cell r="Q15">
            <v>17145</v>
          </cell>
          <cell r="R15">
            <v>10810</v>
          </cell>
          <cell r="S15">
            <v>33664</v>
          </cell>
          <cell r="T15">
            <v>28604</v>
          </cell>
          <cell r="U15">
            <v>1880</v>
          </cell>
          <cell r="V15">
            <v>4271</v>
          </cell>
          <cell r="W15">
            <v>25303</v>
          </cell>
          <cell r="X15">
            <v>16147</v>
          </cell>
          <cell r="Z15">
            <v>1843</v>
          </cell>
          <cell r="AA15">
            <v>5684</v>
          </cell>
          <cell r="AB15">
            <v>12854</v>
          </cell>
          <cell r="AC15">
            <v>10284</v>
          </cell>
          <cell r="AD15">
            <v>18514</v>
          </cell>
          <cell r="AE15">
            <v>21977</v>
          </cell>
          <cell r="AF15">
            <v>1914</v>
          </cell>
          <cell r="AH15">
            <v>1781</v>
          </cell>
          <cell r="AI15">
            <v>16870</v>
          </cell>
          <cell r="AJ15">
            <v>9073</v>
          </cell>
          <cell r="AK15">
            <v>8101</v>
          </cell>
          <cell r="AL15">
            <v>5359</v>
          </cell>
          <cell r="AM15">
            <v>1266</v>
          </cell>
          <cell r="AO15">
            <v>7201</v>
          </cell>
          <cell r="AP15">
            <v>5557</v>
          </cell>
          <cell r="AQ15">
            <v>12516</v>
          </cell>
          <cell r="AS15">
            <v>5011</v>
          </cell>
          <cell r="AT15">
            <v>5588</v>
          </cell>
          <cell r="AV15">
            <v>2048</v>
          </cell>
          <cell r="DN15">
            <v>870716</v>
          </cell>
          <cell r="DO15">
            <v>15</v>
          </cell>
        </row>
        <row r="16">
          <cell r="A16" t="str">
            <v>Albuquerque, NM Metro Area</v>
          </cell>
          <cell r="B16">
            <v>16850</v>
          </cell>
          <cell r="C16">
            <v>23319</v>
          </cell>
          <cell r="D16">
            <v>49911</v>
          </cell>
          <cell r="E16">
            <v>63034</v>
          </cell>
          <cell r="F16">
            <v>93518</v>
          </cell>
          <cell r="G16">
            <v>91512</v>
          </cell>
          <cell r="H16">
            <v>73533</v>
          </cell>
          <cell r="I16">
            <v>78278</v>
          </cell>
          <cell r="J16">
            <v>92309</v>
          </cell>
          <cell r="K16">
            <v>46830</v>
          </cell>
          <cell r="L16">
            <v>28339</v>
          </cell>
          <cell r="M16">
            <v>34191</v>
          </cell>
          <cell r="N16">
            <v>10808</v>
          </cell>
          <cell r="O16">
            <v>7334</v>
          </cell>
          <cell r="P16">
            <v>16503</v>
          </cell>
          <cell r="Q16">
            <v>4249</v>
          </cell>
          <cell r="R16">
            <v>17282</v>
          </cell>
          <cell r="S16">
            <v>8996</v>
          </cell>
          <cell r="T16">
            <v>13442</v>
          </cell>
          <cell r="U16">
            <v>12251</v>
          </cell>
          <cell r="V16">
            <v>20762</v>
          </cell>
          <cell r="W16">
            <v>4497</v>
          </cell>
          <cell r="X16">
            <v>7334</v>
          </cell>
          <cell r="Y16">
            <v>6557</v>
          </cell>
          <cell r="Z16">
            <v>6841</v>
          </cell>
          <cell r="AA16">
            <v>6349</v>
          </cell>
          <cell r="AD16">
            <v>4078</v>
          </cell>
          <cell r="AE16">
            <v>7132</v>
          </cell>
          <cell r="AF16">
            <v>4670</v>
          </cell>
          <cell r="AG16">
            <v>4723</v>
          </cell>
          <cell r="AJ16">
            <v>6252</v>
          </cell>
          <cell r="AK16">
            <v>3157</v>
          </cell>
          <cell r="AL16">
            <v>10264</v>
          </cell>
          <cell r="AO16">
            <v>1963</v>
          </cell>
          <cell r="AQ16">
            <v>2729</v>
          </cell>
          <cell r="AW16">
            <v>2294</v>
          </cell>
          <cell r="BG16">
            <v>0</v>
          </cell>
          <cell r="BH16">
            <v>2318</v>
          </cell>
          <cell r="BS16">
            <v>2668</v>
          </cell>
          <cell r="DN16">
            <v>887077</v>
          </cell>
          <cell r="DO16">
            <v>16</v>
          </cell>
        </row>
        <row r="17">
          <cell r="A17" t="str">
            <v>Alexandria, LA Metro Area</v>
          </cell>
          <cell r="B17">
            <v>3126</v>
          </cell>
          <cell r="C17">
            <v>22608</v>
          </cell>
          <cell r="D17">
            <v>9656</v>
          </cell>
          <cell r="E17">
            <v>25206</v>
          </cell>
          <cell r="F17">
            <v>7951</v>
          </cell>
          <cell r="H17">
            <v>18526</v>
          </cell>
          <cell r="I17">
            <v>8253</v>
          </cell>
          <cell r="K17">
            <v>4580</v>
          </cell>
          <cell r="L17">
            <v>7817</v>
          </cell>
          <cell r="M17">
            <v>2931</v>
          </cell>
          <cell r="N17">
            <v>9266</v>
          </cell>
          <cell r="Q17">
            <v>11479</v>
          </cell>
          <cell r="T17">
            <v>4938</v>
          </cell>
          <cell r="U17">
            <v>2700</v>
          </cell>
          <cell r="W17">
            <v>6243</v>
          </cell>
          <cell r="AA17">
            <v>2438</v>
          </cell>
          <cell r="AB17">
            <v>3045</v>
          </cell>
          <cell r="AG17">
            <v>3159</v>
          </cell>
          <cell r="DN17">
            <v>153922</v>
          </cell>
          <cell r="DO17">
            <v>17</v>
          </cell>
        </row>
        <row r="18">
          <cell r="A18" t="str">
            <v>Allentown-Bethlehem-Easton, PA-NJ Metro Area</v>
          </cell>
          <cell r="B18">
            <v>38665</v>
          </cell>
          <cell r="C18">
            <v>63424</v>
          </cell>
          <cell r="D18">
            <v>37704</v>
          </cell>
          <cell r="E18">
            <v>45392</v>
          </cell>
          <cell r="F18">
            <v>49279</v>
          </cell>
          <cell r="G18">
            <v>58583</v>
          </cell>
          <cell r="H18">
            <v>67069</v>
          </cell>
          <cell r="I18">
            <v>39762</v>
          </cell>
          <cell r="J18">
            <v>26161</v>
          </cell>
          <cell r="K18">
            <v>35173</v>
          </cell>
          <cell r="L18">
            <v>4716</v>
          </cell>
          <cell r="M18">
            <v>18957</v>
          </cell>
          <cell r="N18">
            <v>46314</v>
          </cell>
          <cell r="O18">
            <v>37713</v>
          </cell>
          <cell r="P18">
            <v>21176</v>
          </cell>
          <cell r="Q18">
            <v>30419</v>
          </cell>
          <cell r="R18">
            <v>12655</v>
          </cell>
          <cell r="S18">
            <v>20885</v>
          </cell>
          <cell r="T18">
            <v>11850</v>
          </cell>
          <cell r="U18">
            <v>9906</v>
          </cell>
          <cell r="V18">
            <v>16467</v>
          </cell>
          <cell r="W18">
            <v>8717</v>
          </cell>
          <cell r="X18">
            <v>6840</v>
          </cell>
          <cell r="Y18">
            <v>7957</v>
          </cell>
          <cell r="AA18">
            <v>12695</v>
          </cell>
          <cell r="AB18">
            <v>17220</v>
          </cell>
          <cell r="AC18">
            <v>19062</v>
          </cell>
          <cell r="AD18">
            <v>2514</v>
          </cell>
          <cell r="AG18">
            <v>14319</v>
          </cell>
          <cell r="AH18">
            <v>2252</v>
          </cell>
          <cell r="AJ18">
            <v>7725</v>
          </cell>
          <cell r="AK18">
            <v>5976</v>
          </cell>
          <cell r="AL18">
            <v>5662</v>
          </cell>
          <cell r="AM18">
            <v>5134</v>
          </cell>
          <cell r="AN18">
            <v>8913</v>
          </cell>
          <cell r="AO18">
            <v>3917</v>
          </cell>
          <cell r="DN18">
            <v>821173</v>
          </cell>
          <cell r="DO18">
            <v>18</v>
          </cell>
        </row>
        <row r="19">
          <cell r="A19" t="str">
            <v>Altoona, PA Metro Area</v>
          </cell>
          <cell r="B19">
            <v>19007</v>
          </cell>
          <cell r="C19">
            <v>23225</v>
          </cell>
          <cell r="D19">
            <v>13634</v>
          </cell>
          <cell r="E19">
            <v>3763</v>
          </cell>
          <cell r="G19">
            <v>17398</v>
          </cell>
          <cell r="H19">
            <v>8327</v>
          </cell>
          <cell r="I19">
            <v>9739</v>
          </cell>
          <cell r="L19">
            <v>3671</v>
          </cell>
          <cell r="M19">
            <v>5923</v>
          </cell>
          <cell r="N19">
            <v>2585</v>
          </cell>
          <cell r="O19">
            <v>7195</v>
          </cell>
          <cell r="P19">
            <v>8449</v>
          </cell>
          <cell r="Q19">
            <v>4173</v>
          </cell>
          <cell r="DN19">
            <v>127089</v>
          </cell>
          <cell r="DO19">
            <v>19</v>
          </cell>
        </row>
        <row r="20">
          <cell r="A20" t="str">
            <v>Amarillo, TX Metro Area</v>
          </cell>
          <cell r="B20">
            <v>7898</v>
          </cell>
          <cell r="C20">
            <v>25238</v>
          </cell>
          <cell r="D20">
            <v>53011</v>
          </cell>
          <cell r="E20">
            <v>36809</v>
          </cell>
          <cell r="F20">
            <v>28803</v>
          </cell>
          <cell r="G20">
            <v>21075</v>
          </cell>
          <cell r="H20">
            <v>16249</v>
          </cell>
          <cell r="I20">
            <v>13883</v>
          </cell>
          <cell r="J20">
            <v>9591</v>
          </cell>
          <cell r="L20">
            <v>6466</v>
          </cell>
          <cell r="N20">
            <v>6988</v>
          </cell>
          <cell r="R20">
            <v>15787</v>
          </cell>
          <cell r="AA20">
            <v>3795</v>
          </cell>
          <cell r="AB20">
            <v>1901</v>
          </cell>
          <cell r="AP20">
            <v>2387</v>
          </cell>
          <cell r="DN20">
            <v>249881</v>
          </cell>
          <cell r="DO20">
            <v>20</v>
          </cell>
        </row>
        <row r="21">
          <cell r="A21" t="str">
            <v>Ames, IA Metro Area</v>
          </cell>
          <cell r="B21">
            <v>7416</v>
          </cell>
          <cell r="C21">
            <v>24090</v>
          </cell>
          <cell r="D21">
            <v>18301</v>
          </cell>
          <cell r="E21">
            <v>14066</v>
          </cell>
          <cell r="J21">
            <v>14466</v>
          </cell>
          <cell r="L21">
            <v>5429</v>
          </cell>
          <cell r="P21">
            <v>3943</v>
          </cell>
          <cell r="R21">
            <v>1831</v>
          </cell>
          <cell r="DN21">
            <v>89542</v>
          </cell>
          <cell r="DO21">
            <v>21</v>
          </cell>
        </row>
        <row r="22">
          <cell r="A22" t="str">
            <v>Anchorage, AK Metro Area</v>
          </cell>
          <cell r="B22">
            <v>8789</v>
          </cell>
          <cell r="C22">
            <v>18318</v>
          </cell>
          <cell r="D22">
            <v>45921</v>
          </cell>
          <cell r="E22">
            <v>22174</v>
          </cell>
          <cell r="F22">
            <v>52990</v>
          </cell>
          <cell r="G22">
            <v>49478</v>
          </cell>
          <cell r="H22">
            <v>12902</v>
          </cell>
          <cell r="I22">
            <v>24836</v>
          </cell>
          <cell r="J22">
            <v>9629</v>
          </cell>
          <cell r="K22">
            <v>4020</v>
          </cell>
          <cell r="L22">
            <v>5217</v>
          </cell>
          <cell r="O22">
            <v>20606</v>
          </cell>
          <cell r="Q22">
            <v>3381</v>
          </cell>
          <cell r="S22">
            <v>5259</v>
          </cell>
          <cell r="V22">
            <v>10470</v>
          </cell>
          <cell r="W22">
            <v>1716</v>
          </cell>
          <cell r="Y22">
            <v>8027</v>
          </cell>
          <cell r="AB22">
            <v>4481</v>
          </cell>
          <cell r="AC22">
            <v>5274</v>
          </cell>
          <cell r="AD22">
            <v>6220</v>
          </cell>
          <cell r="AE22">
            <v>4895</v>
          </cell>
          <cell r="AF22">
            <v>3750</v>
          </cell>
          <cell r="AG22">
            <v>7401</v>
          </cell>
          <cell r="AH22">
            <v>8408</v>
          </cell>
          <cell r="AI22">
            <v>5364</v>
          </cell>
          <cell r="AJ22">
            <v>3458</v>
          </cell>
          <cell r="AL22">
            <v>9806</v>
          </cell>
          <cell r="AM22">
            <v>7566</v>
          </cell>
          <cell r="AN22">
            <v>5614</v>
          </cell>
          <cell r="BE22">
            <v>2050</v>
          </cell>
          <cell r="BQ22">
            <v>2181</v>
          </cell>
          <cell r="BX22">
            <v>620</v>
          </cell>
          <cell r="DN22">
            <v>380821</v>
          </cell>
          <cell r="DO22">
            <v>22</v>
          </cell>
        </row>
        <row r="23">
          <cell r="A23" t="str">
            <v>Anderson, IN Metro Area</v>
          </cell>
          <cell r="B23">
            <v>7046</v>
          </cell>
          <cell r="C23">
            <v>31048</v>
          </cell>
          <cell r="D23">
            <v>13615</v>
          </cell>
          <cell r="E23">
            <v>13688</v>
          </cell>
          <cell r="F23">
            <v>6024</v>
          </cell>
          <cell r="G23">
            <v>3229</v>
          </cell>
          <cell r="H23">
            <v>6544</v>
          </cell>
          <cell r="I23">
            <v>3892</v>
          </cell>
          <cell r="J23">
            <v>10510</v>
          </cell>
          <cell r="K23">
            <v>5655</v>
          </cell>
          <cell r="L23">
            <v>8786</v>
          </cell>
          <cell r="N23">
            <v>10490</v>
          </cell>
          <cell r="O23">
            <v>3128</v>
          </cell>
          <cell r="P23">
            <v>4911</v>
          </cell>
          <cell r="Q23">
            <v>3070</v>
          </cell>
          <cell r="DN23">
            <v>131636</v>
          </cell>
          <cell r="DO23">
            <v>23</v>
          </cell>
        </row>
        <row r="24">
          <cell r="A24" t="str">
            <v>Anderson, SC Metro Area</v>
          </cell>
          <cell r="B24">
            <v>7579</v>
          </cell>
          <cell r="C24">
            <v>12650</v>
          </cell>
          <cell r="D24">
            <v>15915</v>
          </cell>
          <cell r="E24">
            <v>12987</v>
          </cell>
          <cell r="F24">
            <v>15085</v>
          </cell>
          <cell r="G24">
            <v>19444</v>
          </cell>
          <cell r="I24">
            <v>10359</v>
          </cell>
          <cell r="J24">
            <v>3855</v>
          </cell>
          <cell r="K24">
            <v>19014</v>
          </cell>
          <cell r="L24">
            <v>5409</v>
          </cell>
          <cell r="M24">
            <v>6051</v>
          </cell>
          <cell r="N24">
            <v>18009</v>
          </cell>
          <cell r="O24">
            <v>4085</v>
          </cell>
          <cell r="P24">
            <v>10270</v>
          </cell>
          <cell r="S24">
            <v>7915</v>
          </cell>
          <cell r="T24">
            <v>11255</v>
          </cell>
          <cell r="W24">
            <v>7244</v>
          </cell>
          <cell r="DN24">
            <v>187126</v>
          </cell>
          <cell r="DO24">
            <v>24</v>
          </cell>
        </row>
        <row r="25">
          <cell r="A25" t="str">
            <v>Ann Arbor, MI Metro Area</v>
          </cell>
          <cell r="B25">
            <v>33324</v>
          </cell>
          <cell r="C25">
            <v>27511</v>
          </cell>
          <cell r="D25">
            <v>35656</v>
          </cell>
          <cell r="E25">
            <v>37725</v>
          </cell>
          <cell r="F25">
            <v>15822</v>
          </cell>
          <cell r="G25">
            <v>23357</v>
          </cell>
          <cell r="H25">
            <v>26081</v>
          </cell>
          <cell r="I25">
            <v>25448</v>
          </cell>
          <cell r="J25">
            <v>31929</v>
          </cell>
          <cell r="K25">
            <v>37114</v>
          </cell>
          <cell r="L25">
            <v>9002</v>
          </cell>
          <cell r="M25">
            <v>7291</v>
          </cell>
          <cell r="N25">
            <v>6015</v>
          </cell>
          <cell r="O25">
            <v>8094</v>
          </cell>
          <cell r="P25">
            <v>10292</v>
          </cell>
          <cell r="R25">
            <v>2856</v>
          </cell>
          <cell r="T25">
            <v>7274</v>
          </cell>
          <cell r="DN25">
            <v>344791</v>
          </cell>
          <cell r="DO25">
            <v>25</v>
          </cell>
        </row>
        <row r="26">
          <cell r="A26" t="str">
            <v>Anniston-Oxford, AL Metro Area</v>
          </cell>
          <cell r="B26">
            <v>6297</v>
          </cell>
          <cell r="C26">
            <v>11316</v>
          </cell>
          <cell r="D26">
            <v>2211</v>
          </cell>
          <cell r="E26">
            <v>16796</v>
          </cell>
          <cell r="F26">
            <v>15609</v>
          </cell>
          <cell r="G26">
            <v>4318</v>
          </cell>
          <cell r="H26">
            <v>6</v>
          </cell>
          <cell r="I26">
            <v>19452</v>
          </cell>
          <cell r="J26">
            <v>7069</v>
          </cell>
          <cell r="K26">
            <v>5</v>
          </cell>
          <cell r="L26">
            <v>6801</v>
          </cell>
          <cell r="M26">
            <v>3992</v>
          </cell>
          <cell r="N26">
            <v>3411</v>
          </cell>
          <cell r="P26">
            <v>9133</v>
          </cell>
          <cell r="Q26">
            <v>4661</v>
          </cell>
          <cell r="W26">
            <v>3652</v>
          </cell>
          <cell r="X26">
            <v>3843</v>
          </cell>
          <cell r="DN26">
            <v>118572</v>
          </cell>
          <cell r="DO26">
            <v>26</v>
          </cell>
        </row>
        <row r="27">
          <cell r="A27" t="str">
            <v>Appleton, WI Metro Area</v>
          </cell>
          <cell r="B27">
            <v>13652</v>
          </cell>
          <cell r="C27">
            <v>35781</v>
          </cell>
          <cell r="D27">
            <v>30128</v>
          </cell>
          <cell r="E27">
            <v>26011</v>
          </cell>
          <cell r="F27">
            <v>12511</v>
          </cell>
          <cell r="G27">
            <v>7952</v>
          </cell>
          <cell r="H27">
            <v>27082</v>
          </cell>
          <cell r="I27">
            <v>11623</v>
          </cell>
          <cell r="K27">
            <v>5975</v>
          </cell>
          <cell r="M27">
            <v>4707</v>
          </cell>
          <cell r="N27">
            <v>7399</v>
          </cell>
          <cell r="P27">
            <v>6282</v>
          </cell>
          <cell r="R27">
            <v>8586</v>
          </cell>
          <cell r="S27">
            <v>13869</v>
          </cell>
          <cell r="U27">
            <v>5106</v>
          </cell>
          <cell r="V27">
            <v>3949</v>
          </cell>
          <cell r="AC27">
            <v>5053</v>
          </cell>
          <cell r="DN27">
            <v>225666</v>
          </cell>
          <cell r="DO27">
            <v>27</v>
          </cell>
        </row>
        <row r="28">
          <cell r="A28" t="str">
            <v>Asheville, NC Metro Area</v>
          </cell>
          <cell r="B28">
            <v>6461</v>
          </cell>
          <cell r="C28">
            <v>19557</v>
          </cell>
          <cell r="D28">
            <v>26056</v>
          </cell>
          <cell r="E28">
            <v>18246</v>
          </cell>
          <cell r="F28">
            <v>16302</v>
          </cell>
          <cell r="G28">
            <v>15841</v>
          </cell>
          <cell r="H28">
            <v>23947</v>
          </cell>
          <cell r="I28">
            <v>24837</v>
          </cell>
          <cell r="J28">
            <v>11607</v>
          </cell>
          <cell r="K28">
            <v>31543</v>
          </cell>
          <cell r="L28">
            <v>18427</v>
          </cell>
          <cell r="M28">
            <v>10858</v>
          </cell>
          <cell r="N28">
            <v>16880</v>
          </cell>
          <cell r="O28">
            <v>9214</v>
          </cell>
          <cell r="P28">
            <v>4034</v>
          </cell>
          <cell r="Q28">
            <v>14379</v>
          </cell>
          <cell r="R28">
            <v>27532</v>
          </cell>
          <cell r="S28">
            <v>6084</v>
          </cell>
          <cell r="T28">
            <v>20091</v>
          </cell>
          <cell r="U28">
            <v>18515</v>
          </cell>
          <cell r="V28">
            <v>12996</v>
          </cell>
          <cell r="W28">
            <v>18732</v>
          </cell>
          <cell r="X28">
            <v>9294</v>
          </cell>
          <cell r="Y28">
            <v>6481</v>
          </cell>
          <cell r="Z28">
            <v>8162</v>
          </cell>
          <cell r="AA28">
            <v>6961</v>
          </cell>
          <cell r="AB28">
            <v>6538</v>
          </cell>
          <cell r="AC28">
            <v>9042</v>
          </cell>
          <cell r="AD28">
            <v>3037</v>
          </cell>
          <cell r="AF28">
            <v>3194</v>
          </cell>
          <cell r="AI28">
            <v>10</v>
          </cell>
          <cell r="DN28">
            <v>424858</v>
          </cell>
          <cell r="DO28">
            <v>28</v>
          </cell>
        </row>
        <row r="29">
          <cell r="A29" t="str">
            <v>Athens-Clarke County, GA Metro Area</v>
          </cell>
          <cell r="B29">
            <v>19287</v>
          </cell>
          <cell r="C29">
            <v>16950</v>
          </cell>
          <cell r="D29">
            <v>17007</v>
          </cell>
          <cell r="E29">
            <v>18513</v>
          </cell>
          <cell r="F29">
            <v>38093</v>
          </cell>
          <cell r="G29">
            <v>9446</v>
          </cell>
          <cell r="H29">
            <v>10321</v>
          </cell>
          <cell r="I29">
            <v>6830</v>
          </cell>
          <cell r="K29">
            <v>27295</v>
          </cell>
          <cell r="M29">
            <v>4605</v>
          </cell>
          <cell r="Q29">
            <v>14358</v>
          </cell>
          <cell r="S29">
            <v>4256</v>
          </cell>
          <cell r="U29">
            <v>1737</v>
          </cell>
          <cell r="W29">
            <v>3843</v>
          </cell>
          <cell r="DN29">
            <v>192541</v>
          </cell>
          <cell r="DO29">
            <v>29</v>
          </cell>
        </row>
        <row r="30">
          <cell r="A30" t="str">
            <v>Atlanta-Sandy Springs-Marietta, GA Metro Area</v>
          </cell>
          <cell r="B30">
            <v>18502</v>
          </cell>
          <cell r="C30">
            <v>61707</v>
          </cell>
          <cell r="D30">
            <v>73907</v>
          </cell>
          <cell r="E30">
            <v>67316</v>
          </cell>
          <cell r="F30">
            <v>70117</v>
          </cell>
          <cell r="G30">
            <v>110420</v>
          </cell>
          <cell r="H30">
            <v>82981</v>
          </cell>
          <cell r="I30">
            <v>117536</v>
          </cell>
          <cell r="J30">
            <v>117041</v>
          </cell>
          <cell r="K30">
            <v>133152</v>
          </cell>
          <cell r="L30">
            <v>151239</v>
          </cell>
          <cell r="M30">
            <v>188945</v>
          </cell>
          <cell r="N30">
            <v>156207</v>
          </cell>
          <cell r="O30">
            <v>133779</v>
          </cell>
          <cell r="P30">
            <v>219418</v>
          </cell>
          <cell r="Q30">
            <v>175332</v>
          </cell>
          <cell r="R30">
            <v>185970</v>
          </cell>
          <cell r="S30">
            <v>142290</v>
          </cell>
          <cell r="T30">
            <v>118801</v>
          </cell>
          <cell r="U30">
            <v>194006</v>
          </cell>
          <cell r="V30">
            <v>172858</v>
          </cell>
          <cell r="W30">
            <v>132618</v>
          </cell>
          <cell r="X30">
            <v>201936</v>
          </cell>
          <cell r="Y30">
            <v>147725</v>
          </cell>
          <cell r="Z30">
            <v>205100</v>
          </cell>
          <cell r="AA30">
            <v>161743</v>
          </cell>
          <cell r="AB30">
            <v>152145</v>
          </cell>
          <cell r="AC30">
            <v>160680</v>
          </cell>
          <cell r="AD30">
            <v>94630</v>
          </cell>
          <cell r="AE30">
            <v>131275</v>
          </cell>
          <cell r="AF30">
            <v>113980</v>
          </cell>
          <cell r="AG30">
            <v>74727</v>
          </cell>
          <cell r="AH30">
            <v>142827</v>
          </cell>
          <cell r="AI30">
            <v>107580</v>
          </cell>
          <cell r="AJ30">
            <v>76531</v>
          </cell>
          <cell r="AK30">
            <v>56718</v>
          </cell>
          <cell r="AL30">
            <v>51226</v>
          </cell>
          <cell r="AM30">
            <v>55337</v>
          </cell>
          <cell r="AN30">
            <v>79867</v>
          </cell>
          <cell r="AO30">
            <v>51092</v>
          </cell>
          <cell r="AP30">
            <v>73419</v>
          </cell>
          <cell r="AQ30">
            <v>15917</v>
          </cell>
          <cell r="AR30">
            <v>62520</v>
          </cell>
          <cell r="AS30">
            <v>24349</v>
          </cell>
          <cell r="AT30">
            <v>25933</v>
          </cell>
          <cell r="AU30">
            <v>29036</v>
          </cell>
          <cell r="AV30">
            <v>19697</v>
          </cell>
          <cell r="AW30">
            <v>6885</v>
          </cell>
          <cell r="AX30">
            <v>28014</v>
          </cell>
          <cell r="AY30">
            <v>12396</v>
          </cell>
          <cell r="AZ30">
            <v>29938</v>
          </cell>
          <cell r="BA30">
            <v>29817</v>
          </cell>
          <cell r="BB30">
            <v>4421</v>
          </cell>
          <cell r="BC30">
            <v>5015</v>
          </cell>
          <cell r="BG30">
            <v>2873</v>
          </cell>
          <cell r="BK30">
            <v>3155</v>
          </cell>
          <cell r="BL30">
            <v>6214</v>
          </cell>
          <cell r="DN30">
            <v>5268860</v>
          </cell>
          <cell r="DO30">
            <v>30</v>
          </cell>
        </row>
        <row r="31">
          <cell r="A31" t="str">
            <v>Atlantic City-Hammonton, NJ Metro Area</v>
          </cell>
          <cell r="B31">
            <v>21473</v>
          </cell>
          <cell r="C31">
            <v>14883</v>
          </cell>
          <cell r="D31">
            <v>10095</v>
          </cell>
          <cell r="E31">
            <v>9710</v>
          </cell>
          <cell r="F31">
            <v>8305</v>
          </cell>
          <cell r="G31">
            <v>19755</v>
          </cell>
          <cell r="H31">
            <v>21960</v>
          </cell>
          <cell r="I31">
            <v>19280</v>
          </cell>
          <cell r="J31">
            <v>3039</v>
          </cell>
          <cell r="K31">
            <v>40389</v>
          </cell>
          <cell r="L31">
            <v>19968</v>
          </cell>
          <cell r="M31">
            <v>7189</v>
          </cell>
          <cell r="O31">
            <v>22971</v>
          </cell>
          <cell r="R31">
            <v>4243</v>
          </cell>
          <cell r="S31">
            <v>4759</v>
          </cell>
          <cell r="U31">
            <v>4942</v>
          </cell>
          <cell r="V31">
            <v>12739</v>
          </cell>
          <cell r="AB31">
            <v>8546</v>
          </cell>
          <cell r="AC31">
            <v>7570</v>
          </cell>
          <cell r="AD31">
            <v>8130</v>
          </cell>
          <cell r="AE31">
            <v>4603</v>
          </cell>
          <cell r="DN31">
            <v>274549</v>
          </cell>
          <cell r="DO31">
            <v>31</v>
          </cell>
        </row>
        <row r="32">
          <cell r="A32" t="str">
            <v>Auburn-Opelika, AL Metro Area</v>
          </cell>
          <cell r="B32">
            <v>20531</v>
          </cell>
          <cell r="C32">
            <v>14376</v>
          </cell>
          <cell r="D32">
            <v>8640</v>
          </cell>
          <cell r="E32">
            <v>14188</v>
          </cell>
          <cell r="F32">
            <v>7236</v>
          </cell>
          <cell r="G32">
            <v>6890</v>
          </cell>
          <cell r="I32">
            <v>16154</v>
          </cell>
          <cell r="J32">
            <v>3643</v>
          </cell>
          <cell r="N32">
            <v>6826</v>
          </cell>
          <cell r="R32">
            <v>6705</v>
          </cell>
          <cell r="U32">
            <v>7623</v>
          </cell>
          <cell r="W32">
            <v>3645</v>
          </cell>
          <cell r="X32">
            <v>5181</v>
          </cell>
          <cell r="Y32">
            <v>1998</v>
          </cell>
          <cell r="Z32">
            <v>9990</v>
          </cell>
          <cell r="AB32">
            <v>6621</v>
          </cell>
          <cell r="DN32">
            <v>140247</v>
          </cell>
          <cell r="DO32">
            <v>32</v>
          </cell>
        </row>
        <row r="33">
          <cell r="A33" t="str">
            <v>Augusta-Richmond County, GA-SC Metro Area</v>
          </cell>
          <cell r="B33">
            <v>5789</v>
          </cell>
          <cell r="C33">
            <v>12833</v>
          </cell>
          <cell r="D33">
            <v>14534</v>
          </cell>
          <cell r="E33">
            <v>36338</v>
          </cell>
          <cell r="F33">
            <v>18770</v>
          </cell>
          <cell r="G33">
            <v>31255</v>
          </cell>
          <cell r="H33">
            <v>38643</v>
          </cell>
          <cell r="I33">
            <v>40611</v>
          </cell>
          <cell r="J33">
            <v>32199</v>
          </cell>
          <cell r="K33">
            <v>33263</v>
          </cell>
          <cell r="L33">
            <v>37137</v>
          </cell>
          <cell r="M33">
            <v>29144</v>
          </cell>
          <cell r="N33">
            <v>17339</v>
          </cell>
          <cell r="O33">
            <v>53254</v>
          </cell>
          <cell r="P33">
            <v>5800</v>
          </cell>
          <cell r="Q33">
            <v>29226</v>
          </cell>
          <cell r="R33">
            <v>6055</v>
          </cell>
          <cell r="S33">
            <v>4284</v>
          </cell>
          <cell r="T33">
            <v>20965</v>
          </cell>
          <cell r="U33">
            <v>0</v>
          </cell>
          <cell r="V33">
            <v>7876</v>
          </cell>
          <cell r="W33">
            <v>9188</v>
          </cell>
          <cell r="X33">
            <v>9401</v>
          </cell>
          <cell r="Z33">
            <v>2615</v>
          </cell>
          <cell r="AA33">
            <v>21263</v>
          </cell>
          <cell r="AD33">
            <v>5350</v>
          </cell>
          <cell r="AE33">
            <v>5382</v>
          </cell>
          <cell r="AF33">
            <v>7083</v>
          </cell>
          <cell r="AG33">
            <v>5805</v>
          </cell>
          <cell r="AH33">
            <v>3175</v>
          </cell>
          <cell r="AJ33">
            <v>7954</v>
          </cell>
          <cell r="AM33">
            <v>2589</v>
          </cell>
          <cell r="AN33">
            <v>1757</v>
          </cell>
          <cell r="DN33">
            <v>556877</v>
          </cell>
          <cell r="DO33">
            <v>33</v>
          </cell>
        </row>
        <row r="34">
          <cell r="A34" t="str">
            <v>Austin-Round Rock-San Marcos, TX Metro Area</v>
          </cell>
          <cell r="B34">
            <v>5512</v>
          </cell>
          <cell r="C34">
            <v>67177</v>
          </cell>
          <cell r="D34">
            <v>84743</v>
          </cell>
          <cell r="E34">
            <v>55553</v>
          </cell>
          <cell r="F34">
            <v>80954</v>
          </cell>
          <cell r="G34">
            <v>98266</v>
          </cell>
          <cell r="H34">
            <v>74435</v>
          </cell>
          <cell r="I34">
            <v>97768</v>
          </cell>
          <cell r="J34">
            <v>72387</v>
          </cell>
          <cell r="K34">
            <v>58745</v>
          </cell>
          <cell r="L34">
            <v>70871</v>
          </cell>
          <cell r="M34">
            <v>63164</v>
          </cell>
          <cell r="N34">
            <v>61688</v>
          </cell>
          <cell r="O34">
            <v>52424</v>
          </cell>
          <cell r="P34">
            <v>43022</v>
          </cell>
          <cell r="Q34">
            <v>85648</v>
          </cell>
          <cell r="R34">
            <v>63779</v>
          </cell>
          <cell r="S34">
            <v>81836</v>
          </cell>
          <cell r="T34">
            <v>34484</v>
          </cell>
          <cell r="U34">
            <v>73016</v>
          </cell>
          <cell r="V34">
            <v>52093</v>
          </cell>
          <cell r="W34">
            <v>35913</v>
          </cell>
          <cell r="X34">
            <v>35504</v>
          </cell>
          <cell r="Y34">
            <v>20074</v>
          </cell>
          <cell r="Z34">
            <v>5430</v>
          </cell>
          <cell r="AA34">
            <v>19567</v>
          </cell>
          <cell r="AB34">
            <v>27523</v>
          </cell>
          <cell r="AC34">
            <v>37664</v>
          </cell>
          <cell r="AD34">
            <v>43868</v>
          </cell>
          <cell r="AE34">
            <v>20307</v>
          </cell>
          <cell r="AF34">
            <v>27222</v>
          </cell>
          <cell r="AG34">
            <v>12780</v>
          </cell>
          <cell r="AH34">
            <v>18990</v>
          </cell>
          <cell r="AJ34">
            <v>5116</v>
          </cell>
          <cell r="AL34">
            <v>5184</v>
          </cell>
          <cell r="AM34">
            <v>7287</v>
          </cell>
          <cell r="AN34">
            <v>4697</v>
          </cell>
          <cell r="AO34">
            <v>4189</v>
          </cell>
          <cell r="AP34">
            <v>7409</v>
          </cell>
          <cell r="DN34">
            <v>1716289</v>
          </cell>
          <cell r="DO34">
            <v>34</v>
          </cell>
        </row>
        <row r="35">
          <cell r="A35" t="str">
            <v>Bakersfield-Delano, CA Metro Area</v>
          </cell>
          <cell r="B35">
            <v>17467</v>
          </cell>
          <cell r="C35">
            <v>31852</v>
          </cell>
          <cell r="D35">
            <v>81081</v>
          </cell>
          <cell r="E35">
            <v>67677</v>
          </cell>
          <cell r="F35">
            <v>118268</v>
          </cell>
          <cell r="G35">
            <v>44714</v>
          </cell>
          <cell r="H35">
            <v>120556</v>
          </cell>
          <cell r="I35">
            <v>11769</v>
          </cell>
          <cell r="J35">
            <v>18630</v>
          </cell>
          <cell r="K35">
            <v>14144</v>
          </cell>
          <cell r="L35">
            <v>6817</v>
          </cell>
          <cell r="M35">
            <v>2250</v>
          </cell>
          <cell r="Q35">
            <v>10788</v>
          </cell>
          <cell r="R35">
            <v>20664</v>
          </cell>
          <cell r="S35">
            <v>7704</v>
          </cell>
          <cell r="T35">
            <v>1320</v>
          </cell>
          <cell r="V35">
            <v>3953</v>
          </cell>
          <cell r="Y35">
            <v>20161</v>
          </cell>
          <cell r="Z35">
            <v>12919</v>
          </cell>
          <cell r="AA35">
            <v>5248</v>
          </cell>
          <cell r="AB35">
            <v>11666</v>
          </cell>
          <cell r="AD35">
            <v>4318</v>
          </cell>
          <cell r="AE35">
            <v>16918</v>
          </cell>
          <cell r="AF35">
            <v>39493</v>
          </cell>
          <cell r="AG35">
            <v>11639</v>
          </cell>
          <cell r="AH35">
            <v>11327</v>
          </cell>
          <cell r="AI35">
            <v>9677</v>
          </cell>
          <cell r="AJ35">
            <v>5580</v>
          </cell>
          <cell r="AL35">
            <v>13161</v>
          </cell>
          <cell r="AM35">
            <v>1601</v>
          </cell>
          <cell r="AN35">
            <v>3608</v>
          </cell>
          <cell r="AO35">
            <v>9334</v>
          </cell>
          <cell r="AQ35">
            <v>4679</v>
          </cell>
          <cell r="BB35">
            <v>3589</v>
          </cell>
          <cell r="BF35">
            <v>5998</v>
          </cell>
          <cell r="BI35">
            <v>5997</v>
          </cell>
          <cell r="BJ35">
            <v>7379</v>
          </cell>
          <cell r="BK35">
            <v>4198</v>
          </cell>
          <cell r="BL35">
            <v>7198</v>
          </cell>
          <cell r="BO35">
            <v>5152</v>
          </cell>
          <cell r="BR35">
            <v>2226</v>
          </cell>
          <cell r="BW35">
            <v>6275</v>
          </cell>
          <cell r="BZ35">
            <v>8379</v>
          </cell>
          <cell r="CA35">
            <v>11193</v>
          </cell>
          <cell r="CB35">
            <v>6672</v>
          </cell>
          <cell r="CC35">
            <v>2139</v>
          </cell>
          <cell r="CD35">
            <v>2253</v>
          </cell>
          <cell r="DN35">
            <v>839631</v>
          </cell>
          <cell r="DO35">
            <v>35</v>
          </cell>
        </row>
        <row r="36">
          <cell r="A36" t="str">
            <v>Baltimore-Towson, MD Metro Area</v>
          </cell>
          <cell r="B36">
            <v>37852</v>
          </cell>
          <cell r="C36">
            <v>117924</v>
          </cell>
          <cell r="D36">
            <v>103154</v>
          </cell>
          <cell r="E36">
            <v>132812</v>
          </cell>
          <cell r="F36">
            <v>152769</v>
          </cell>
          <cell r="G36">
            <v>161103</v>
          </cell>
          <cell r="H36">
            <v>143235</v>
          </cell>
          <cell r="I36">
            <v>137052</v>
          </cell>
          <cell r="J36">
            <v>133890</v>
          </cell>
          <cell r="K36">
            <v>112131</v>
          </cell>
          <cell r="L36">
            <v>143217</v>
          </cell>
          <cell r="M36">
            <v>95441</v>
          </cell>
          <cell r="N36">
            <v>136157</v>
          </cell>
          <cell r="O36">
            <v>93142</v>
          </cell>
          <cell r="P36">
            <v>86936</v>
          </cell>
          <cell r="Q36">
            <v>90271</v>
          </cell>
          <cell r="R36">
            <v>65611</v>
          </cell>
          <cell r="S36">
            <v>68488</v>
          </cell>
          <cell r="T36">
            <v>63940</v>
          </cell>
          <cell r="U36">
            <v>57701</v>
          </cell>
          <cell r="V36">
            <v>71297</v>
          </cell>
          <cell r="W36">
            <v>49792</v>
          </cell>
          <cell r="X36">
            <v>90848</v>
          </cell>
          <cell r="Y36">
            <v>40248</v>
          </cell>
          <cell r="Z36">
            <v>52740</v>
          </cell>
          <cell r="AA36">
            <v>19429</v>
          </cell>
          <cell r="AB36">
            <v>23275</v>
          </cell>
          <cell r="AC36">
            <v>53398</v>
          </cell>
          <cell r="AD36">
            <v>28896</v>
          </cell>
          <cell r="AE36">
            <v>25764</v>
          </cell>
          <cell r="AF36">
            <v>30033</v>
          </cell>
          <cell r="AG36">
            <v>11826</v>
          </cell>
          <cell r="AH36">
            <v>18286</v>
          </cell>
          <cell r="AI36">
            <v>16084</v>
          </cell>
          <cell r="AJ36">
            <v>13754</v>
          </cell>
          <cell r="AK36">
            <v>7056</v>
          </cell>
          <cell r="AM36">
            <v>11430</v>
          </cell>
          <cell r="AN36">
            <v>4112</v>
          </cell>
          <cell r="AO36">
            <v>6759</v>
          </cell>
          <cell r="AR36">
            <v>2636</v>
          </cell>
          <cell r="DN36">
            <v>2710489</v>
          </cell>
          <cell r="DO36">
            <v>36</v>
          </cell>
        </row>
        <row r="37">
          <cell r="A37" t="str">
            <v>Bangor, ME Metro Area</v>
          </cell>
          <cell r="B37">
            <v>11946</v>
          </cell>
          <cell r="C37">
            <v>14327</v>
          </cell>
          <cell r="D37">
            <v>16248</v>
          </cell>
          <cell r="E37">
            <v>1919</v>
          </cell>
          <cell r="G37">
            <v>3733</v>
          </cell>
          <cell r="H37">
            <v>16315</v>
          </cell>
          <cell r="I37">
            <v>8136</v>
          </cell>
          <cell r="J37">
            <v>10748</v>
          </cell>
          <cell r="K37">
            <v>2786</v>
          </cell>
          <cell r="L37">
            <v>5054</v>
          </cell>
          <cell r="M37">
            <v>8023</v>
          </cell>
          <cell r="N37">
            <v>4345</v>
          </cell>
          <cell r="S37">
            <v>5274</v>
          </cell>
          <cell r="T37">
            <v>4287</v>
          </cell>
          <cell r="U37">
            <v>2006</v>
          </cell>
          <cell r="V37">
            <v>2561</v>
          </cell>
          <cell r="W37">
            <v>1865</v>
          </cell>
          <cell r="X37">
            <v>2197</v>
          </cell>
          <cell r="Y37">
            <v>3275</v>
          </cell>
          <cell r="AA37">
            <v>2198</v>
          </cell>
          <cell r="AE37">
            <v>3895</v>
          </cell>
          <cell r="AG37">
            <v>1373</v>
          </cell>
          <cell r="AH37">
            <v>1607</v>
          </cell>
          <cell r="AN37">
            <v>2393</v>
          </cell>
          <cell r="AP37">
            <v>5085</v>
          </cell>
          <cell r="BC37">
            <v>2143</v>
          </cell>
          <cell r="BD37">
            <v>1878</v>
          </cell>
          <cell r="BG37">
            <v>1723</v>
          </cell>
          <cell r="BI37">
            <v>4499</v>
          </cell>
          <cell r="CA37">
            <v>2084</v>
          </cell>
          <cell r="DN37">
            <v>153923</v>
          </cell>
          <cell r="DO37">
            <v>37</v>
          </cell>
        </row>
        <row r="38">
          <cell r="A38" t="str">
            <v>Barnstable Town, MA Metro Area</v>
          </cell>
          <cell r="B38">
            <v>11033</v>
          </cell>
          <cell r="C38">
            <v>5934</v>
          </cell>
          <cell r="D38">
            <v>9901</v>
          </cell>
          <cell r="E38">
            <v>3923</v>
          </cell>
          <cell r="F38">
            <v>22175</v>
          </cell>
          <cell r="G38">
            <v>5302</v>
          </cell>
          <cell r="H38">
            <v>7812</v>
          </cell>
          <cell r="I38">
            <v>9339</v>
          </cell>
          <cell r="J38">
            <v>7774</v>
          </cell>
          <cell r="K38">
            <v>19677</v>
          </cell>
          <cell r="L38">
            <v>3809</v>
          </cell>
          <cell r="M38">
            <v>20382</v>
          </cell>
          <cell r="O38">
            <v>13307</v>
          </cell>
          <cell r="P38">
            <v>8094</v>
          </cell>
          <cell r="Q38">
            <v>5271</v>
          </cell>
          <cell r="R38">
            <v>22503</v>
          </cell>
          <cell r="S38">
            <v>12214</v>
          </cell>
          <cell r="T38">
            <v>11189</v>
          </cell>
          <cell r="U38">
            <v>6019</v>
          </cell>
          <cell r="V38">
            <v>2535</v>
          </cell>
          <cell r="Y38">
            <v>2750</v>
          </cell>
          <cell r="AC38">
            <v>2003</v>
          </cell>
          <cell r="AD38">
            <v>2942</v>
          </cell>
          <cell r="DN38">
            <v>215888</v>
          </cell>
          <cell r="DO38">
            <v>38</v>
          </cell>
        </row>
        <row r="39">
          <cell r="A39" t="str">
            <v>Baton Rouge, LA Metro Area</v>
          </cell>
          <cell r="B39">
            <v>5022</v>
          </cell>
          <cell r="C39">
            <v>25405</v>
          </cell>
          <cell r="D39">
            <v>30111</v>
          </cell>
          <cell r="E39">
            <v>34947</v>
          </cell>
          <cell r="F39">
            <v>46625</v>
          </cell>
          <cell r="G39">
            <v>32520</v>
          </cell>
          <cell r="H39">
            <v>50812</v>
          </cell>
          <cell r="I39">
            <v>36295</v>
          </cell>
          <cell r="J39">
            <v>44541</v>
          </cell>
          <cell r="K39">
            <v>48838</v>
          </cell>
          <cell r="L39">
            <v>24351</v>
          </cell>
          <cell r="M39">
            <v>40389</v>
          </cell>
          <cell r="N39">
            <v>19661</v>
          </cell>
          <cell r="O39">
            <v>24023</v>
          </cell>
          <cell r="P39">
            <v>24481</v>
          </cell>
          <cell r="Q39">
            <v>32477</v>
          </cell>
          <cell r="R39">
            <v>6697</v>
          </cell>
          <cell r="S39">
            <v>30155</v>
          </cell>
          <cell r="T39">
            <v>45671</v>
          </cell>
          <cell r="U39">
            <v>31886</v>
          </cell>
          <cell r="V39">
            <v>18160</v>
          </cell>
          <cell r="W39">
            <v>14066</v>
          </cell>
          <cell r="X39">
            <v>10454</v>
          </cell>
          <cell r="Y39">
            <v>12022</v>
          </cell>
          <cell r="Z39">
            <v>17355</v>
          </cell>
          <cell r="AA39">
            <v>19001</v>
          </cell>
          <cell r="AB39">
            <v>6874</v>
          </cell>
          <cell r="AC39">
            <v>12036</v>
          </cell>
          <cell r="AD39">
            <v>9074</v>
          </cell>
          <cell r="AH39">
            <v>5464</v>
          </cell>
          <cell r="AJ39">
            <v>3322</v>
          </cell>
          <cell r="AK39">
            <v>24454</v>
          </cell>
          <cell r="AN39">
            <v>8272</v>
          </cell>
          <cell r="AR39">
            <v>4540</v>
          </cell>
          <cell r="AS39">
            <v>2483</v>
          </cell>
          <cell r="DN39">
            <v>802484</v>
          </cell>
          <cell r="DO39">
            <v>39</v>
          </cell>
        </row>
        <row r="40">
          <cell r="A40" t="str">
            <v>Battle Creek, MI Metro Area</v>
          </cell>
          <cell r="B40">
            <v>6946</v>
          </cell>
          <cell r="C40">
            <v>24561</v>
          </cell>
          <cell r="D40">
            <v>13762</v>
          </cell>
          <cell r="E40">
            <v>28389</v>
          </cell>
          <cell r="F40">
            <v>7164</v>
          </cell>
          <cell r="G40">
            <v>3349</v>
          </cell>
          <cell r="H40">
            <v>3564</v>
          </cell>
          <cell r="I40">
            <v>6263</v>
          </cell>
          <cell r="M40">
            <v>12859</v>
          </cell>
          <cell r="P40">
            <v>7640</v>
          </cell>
          <cell r="Q40">
            <v>4834</v>
          </cell>
          <cell r="T40">
            <v>2125</v>
          </cell>
          <cell r="W40">
            <v>6641</v>
          </cell>
          <cell r="X40">
            <v>5034</v>
          </cell>
          <cell r="Y40">
            <v>3015</v>
          </cell>
          <cell r="DN40">
            <v>136146</v>
          </cell>
          <cell r="DO40">
            <v>40</v>
          </cell>
        </row>
        <row r="41">
          <cell r="A41" t="str">
            <v>Bay City, MI Metro Area</v>
          </cell>
          <cell r="B41">
            <v>12346</v>
          </cell>
          <cell r="C41">
            <v>22586</v>
          </cell>
          <cell r="D41">
            <v>15675</v>
          </cell>
          <cell r="E41">
            <v>11778</v>
          </cell>
          <cell r="F41">
            <v>15800</v>
          </cell>
          <cell r="G41">
            <v>3562</v>
          </cell>
          <cell r="K41">
            <v>7733</v>
          </cell>
          <cell r="L41">
            <v>7016</v>
          </cell>
          <cell r="P41">
            <v>4935</v>
          </cell>
          <cell r="U41">
            <v>3738</v>
          </cell>
          <cell r="Z41">
            <v>2602</v>
          </cell>
          <cell r="DN41">
            <v>107771</v>
          </cell>
          <cell r="DO41">
            <v>41</v>
          </cell>
        </row>
        <row r="42">
          <cell r="A42" t="str">
            <v>Beaumont-Port Arthur, TX Metro Area</v>
          </cell>
          <cell r="B42">
            <v>1664</v>
          </cell>
          <cell r="C42">
            <v>17404</v>
          </cell>
          <cell r="D42">
            <v>25291</v>
          </cell>
          <cell r="E42">
            <v>15739</v>
          </cell>
          <cell r="F42">
            <v>24445</v>
          </cell>
          <cell r="G42">
            <v>21745</v>
          </cell>
          <cell r="H42">
            <v>19035</v>
          </cell>
          <cell r="I42">
            <v>19848</v>
          </cell>
          <cell r="J42">
            <v>20021</v>
          </cell>
          <cell r="K42">
            <v>7119</v>
          </cell>
          <cell r="L42">
            <v>29022</v>
          </cell>
          <cell r="M42">
            <v>10059</v>
          </cell>
          <cell r="N42">
            <v>15355</v>
          </cell>
          <cell r="O42">
            <v>12813</v>
          </cell>
          <cell r="P42">
            <v>27637</v>
          </cell>
          <cell r="Q42">
            <v>18808</v>
          </cell>
          <cell r="R42">
            <v>30152</v>
          </cell>
          <cell r="S42">
            <v>5909</v>
          </cell>
          <cell r="T42">
            <v>10784</v>
          </cell>
          <cell r="U42">
            <v>9151</v>
          </cell>
          <cell r="V42">
            <v>24424</v>
          </cell>
          <cell r="W42">
            <v>5941</v>
          </cell>
          <cell r="X42">
            <v>6165</v>
          </cell>
          <cell r="Z42">
            <v>2378</v>
          </cell>
          <cell r="AA42">
            <v>4154</v>
          </cell>
          <cell r="AI42">
            <v>3682</v>
          </cell>
          <cell r="DN42">
            <v>388745</v>
          </cell>
          <cell r="DO42">
            <v>42</v>
          </cell>
        </row>
        <row r="43">
          <cell r="A43" t="str">
            <v>Bellingham, WA Metro Area</v>
          </cell>
          <cell r="B43">
            <v>15844</v>
          </cell>
          <cell r="C43">
            <v>20265</v>
          </cell>
          <cell r="D43">
            <v>32664</v>
          </cell>
          <cell r="E43">
            <v>30343</v>
          </cell>
          <cell r="F43">
            <v>3515</v>
          </cell>
          <cell r="I43">
            <v>14463</v>
          </cell>
          <cell r="J43">
            <v>10903</v>
          </cell>
          <cell r="K43">
            <v>8390</v>
          </cell>
          <cell r="L43">
            <v>11656</v>
          </cell>
          <cell r="O43">
            <v>11275</v>
          </cell>
          <cell r="P43">
            <v>11355</v>
          </cell>
          <cell r="Q43">
            <v>8079</v>
          </cell>
          <cell r="S43">
            <v>7895</v>
          </cell>
          <cell r="T43">
            <v>13179</v>
          </cell>
          <cell r="AF43">
            <v>1314</v>
          </cell>
          <cell r="DN43">
            <v>201140</v>
          </cell>
          <cell r="DO43">
            <v>43</v>
          </cell>
        </row>
        <row r="44">
          <cell r="A44" t="str">
            <v>Bend, OR Metro Area</v>
          </cell>
          <cell r="B44">
            <v>5537</v>
          </cell>
          <cell r="C44">
            <v>29075</v>
          </cell>
          <cell r="D44">
            <v>33906</v>
          </cell>
          <cell r="E44">
            <v>10254</v>
          </cell>
          <cell r="G44">
            <v>13374</v>
          </cell>
          <cell r="J44">
            <v>1869</v>
          </cell>
          <cell r="K44">
            <v>2314</v>
          </cell>
          <cell r="N44">
            <v>6537</v>
          </cell>
          <cell r="P44">
            <v>2756</v>
          </cell>
          <cell r="Q44">
            <v>19531</v>
          </cell>
          <cell r="S44">
            <v>6426</v>
          </cell>
          <cell r="U44">
            <v>7670</v>
          </cell>
          <cell r="V44">
            <v>5921</v>
          </cell>
          <cell r="X44">
            <v>7968</v>
          </cell>
          <cell r="AC44">
            <v>4595</v>
          </cell>
          <cell r="DN44">
            <v>157733</v>
          </cell>
          <cell r="DO44">
            <v>44</v>
          </cell>
        </row>
        <row r="45">
          <cell r="A45" t="str">
            <v>Billings, MT Metro Area</v>
          </cell>
          <cell r="B45">
            <v>14082</v>
          </cell>
          <cell r="C45">
            <v>21166</v>
          </cell>
          <cell r="D45">
            <v>19317</v>
          </cell>
          <cell r="E45">
            <v>32582</v>
          </cell>
          <cell r="F45">
            <v>17844</v>
          </cell>
          <cell r="G45">
            <v>5275</v>
          </cell>
          <cell r="H45">
            <v>10955</v>
          </cell>
          <cell r="K45">
            <v>9227</v>
          </cell>
          <cell r="M45">
            <v>4540</v>
          </cell>
          <cell r="O45">
            <v>3819</v>
          </cell>
          <cell r="Q45">
            <v>4725</v>
          </cell>
          <cell r="W45">
            <v>4440</v>
          </cell>
          <cell r="AD45">
            <v>2487</v>
          </cell>
          <cell r="AM45">
            <v>1756</v>
          </cell>
          <cell r="AT45">
            <v>1354</v>
          </cell>
          <cell r="AZ45">
            <v>2259</v>
          </cell>
          <cell r="BD45">
            <v>2222</v>
          </cell>
          <cell r="DN45">
            <v>158050</v>
          </cell>
          <cell r="DO45">
            <v>45</v>
          </cell>
        </row>
        <row r="46">
          <cell r="A46" t="str">
            <v>Binghamton, NY Metro Area</v>
          </cell>
          <cell r="B46">
            <v>16748</v>
          </cell>
          <cell r="C46">
            <v>30628</v>
          </cell>
          <cell r="D46">
            <v>31708</v>
          </cell>
          <cell r="E46">
            <v>2776</v>
          </cell>
          <cell r="F46">
            <v>9358</v>
          </cell>
          <cell r="G46">
            <v>23124</v>
          </cell>
          <cell r="H46">
            <v>20422</v>
          </cell>
          <cell r="I46">
            <v>21230</v>
          </cell>
          <cell r="J46">
            <v>15215</v>
          </cell>
          <cell r="K46">
            <v>5377</v>
          </cell>
          <cell r="M46">
            <v>10198</v>
          </cell>
          <cell r="N46">
            <v>2732</v>
          </cell>
          <cell r="O46">
            <v>18967</v>
          </cell>
          <cell r="S46">
            <v>6842</v>
          </cell>
          <cell r="T46">
            <v>6530</v>
          </cell>
          <cell r="U46">
            <v>2751</v>
          </cell>
          <cell r="X46">
            <v>7396</v>
          </cell>
          <cell r="Y46">
            <v>7712</v>
          </cell>
          <cell r="AF46">
            <v>7669</v>
          </cell>
          <cell r="AH46">
            <v>4342</v>
          </cell>
          <cell r="DN46">
            <v>251725</v>
          </cell>
          <cell r="DO46">
            <v>46</v>
          </cell>
        </row>
        <row r="47">
          <cell r="A47" t="str">
            <v>Birmingham-Hoover, AL Metro Area</v>
          </cell>
          <cell r="B47">
            <v>7181</v>
          </cell>
          <cell r="C47">
            <v>22772</v>
          </cell>
          <cell r="D47">
            <v>41498</v>
          </cell>
          <cell r="E47">
            <v>49650</v>
          </cell>
          <cell r="F47">
            <v>47518</v>
          </cell>
          <cell r="G47">
            <v>54197</v>
          </cell>
          <cell r="H47">
            <v>59131</v>
          </cell>
          <cell r="I47">
            <v>18875</v>
          </cell>
          <cell r="J47">
            <v>64783</v>
          </cell>
          <cell r="K47">
            <v>71253</v>
          </cell>
          <cell r="L47">
            <v>48982</v>
          </cell>
          <cell r="M47">
            <v>51548</v>
          </cell>
          <cell r="N47">
            <v>52875</v>
          </cell>
          <cell r="O47">
            <v>30388</v>
          </cell>
          <cell r="P47">
            <v>33554</v>
          </cell>
          <cell r="Q47">
            <v>18572</v>
          </cell>
          <cell r="R47">
            <v>17921</v>
          </cell>
          <cell r="S47">
            <v>51103</v>
          </cell>
          <cell r="T47">
            <v>26113</v>
          </cell>
          <cell r="U47">
            <v>20023</v>
          </cell>
          <cell r="V47">
            <v>27133</v>
          </cell>
          <cell r="W47">
            <v>8457</v>
          </cell>
          <cell r="X47">
            <v>21677</v>
          </cell>
          <cell r="Y47">
            <v>6847</v>
          </cell>
          <cell r="Z47">
            <v>30275</v>
          </cell>
          <cell r="AA47">
            <v>9961</v>
          </cell>
          <cell r="AB47">
            <v>17187</v>
          </cell>
          <cell r="AC47">
            <v>7270</v>
          </cell>
          <cell r="AD47">
            <v>14236</v>
          </cell>
          <cell r="AE47">
            <v>23629</v>
          </cell>
          <cell r="AF47">
            <v>1250</v>
          </cell>
          <cell r="AH47">
            <v>17672</v>
          </cell>
          <cell r="AI47">
            <v>17540</v>
          </cell>
          <cell r="AJ47">
            <v>3557</v>
          </cell>
          <cell r="AK47">
            <v>20570</v>
          </cell>
          <cell r="AL47">
            <v>16869</v>
          </cell>
          <cell r="AM47">
            <v>7329</v>
          </cell>
          <cell r="AN47">
            <v>5509</v>
          </cell>
          <cell r="AO47">
            <v>13930</v>
          </cell>
          <cell r="AP47">
            <v>3718</v>
          </cell>
          <cell r="AQ47">
            <v>13982</v>
          </cell>
          <cell r="AU47">
            <v>14036</v>
          </cell>
          <cell r="AV47">
            <v>6303</v>
          </cell>
          <cell r="AW47">
            <v>3851</v>
          </cell>
          <cell r="AX47">
            <v>7258</v>
          </cell>
          <cell r="AY47">
            <v>5219</v>
          </cell>
          <cell r="AZ47">
            <v>3581</v>
          </cell>
          <cell r="BA47">
            <v>6163</v>
          </cell>
          <cell r="BD47">
            <v>5101</v>
          </cell>
          <cell r="DN47">
            <v>1128047</v>
          </cell>
          <cell r="DO47">
            <v>47</v>
          </cell>
        </row>
        <row r="48">
          <cell r="A48" t="str">
            <v>Bismarck, ND Metro Area</v>
          </cell>
          <cell r="B48">
            <v>12143</v>
          </cell>
          <cell r="C48">
            <v>27927</v>
          </cell>
          <cell r="D48">
            <v>8094</v>
          </cell>
          <cell r="E48">
            <v>22826</v>
          </cell>
          <cell r="F48">
            <v>5732</v>
          </cell>
          <cell r="G48">
            <v>10951</v>
          </cell>
          <cell r="H48">
            <v>3480</v>
          </cell>
          <cell r="I48">
            <v>7105</v>
          </cell>
          <cell r="O48">
            <v>5378</v>
          </cell>
          <cell r="X48">
            <v>1500</v>
          </cell>
          <cell r="AS48">
            <v>3643</v>
          </cell>
          <cell r="DN48">
            <v>108779</v>
          </cell>
          <cell r="DO48">
            <v>48</v>
          </cell>
        </row>
        <row r="49">
          <cell r="A49" t="str">
            <v>Blacksburg-Christiansburg-Radford, VA Metro Area</v>
          </cell>
          <cell r="B49">
            <v>13694</v>
          </cell>
          <cell r="C49">
            <v>26194</v>
          </cell>
          <cell r="D49">
            <v>7785</v>
          </cell>
          <cell r="F49">
            <v>3571</v>
          </cell>
          <cell r="G49">
            <v>20191</v>
          </cell>
          <cell r="I49">
            <v>9642</v>
          </cell>
          <cell r="J49">
            <v>2176</v>
          </cell>
          <cell r="K49">
            <v>10775</v>
          </cell>
          <cell r="L49">
            <v>12360</v>
          </cell>
          <cell r="M49">
            <v>13580</v>
          </cell>
          <cell r="O49">
            <v>3856</v>
          </cell>
          <cell r="Q49">
            <v>0</v>
          </cell>
          <cell r="R49">
            <v>7601</v>
          </cell>
          <cell r="U49">
            <v>2701</v>
          </cell>
          <cell r="V49">
            <v>9422</v>
          </cell>
          <cell r="X49">
            <v>9655</v>
          </cell>
          <cell r="Y49">
            <v>4603</v>
          </cell>
          <cell r="Z49">
            <v>5152</v>
          </cell>
          <cell r="DN49">
            <v>162958</v>
          </cell>
          <cell r="DO49">
            <v>49</v>
          </cell>
        </row>
        <row r="50">
          <cell r="A50" t="str">
            <v>Bloomington, IN Metro Area</v>
          </cell>
          <cell r="B50">
            <v>21946</v>
          </cell>
          <cell r="C50">
            <v>38297</v>
          </cell>
          <cell r="D50">
            <v>14080</v>
          </cell>
          <cell r="E50">
            <v>24921</v>
          </cell>
          <cell r="F50">
            <v>2460</v>
          </cell>
          <cell r="G50">
            <v>10719</v>
          </cell>
          <cell r="H50">
            <v>20798</v>
          </cell>
          <cell r="J50">
            <v>2029</v>
          </cell>
          <cell r="K50">
            <v>2724</v>
          </cell>
          <cell r="N50">
            <v>8693</v>
          </cell>
          <cell r="P50">
            <v>4172</v>
          </cell>
          <cell r="R50">
            <v>4587</v>
          </cell>
          <cell r="S50">
            <v>3587</v>
          </cell>
          <cell r="W50">
            <v>5117</v>
          </cell>
          <cell r="X50">
            <v>3717</v>
          </cell>
          <cell r="Y50">
            <v>3462</v>
          </cell>
          <cell r="Z50">
            <v>3850</v>
          </cell>
          <cell r="AE50">
            <v>4201</v>
          </cell>
          <cell r="AI50">
            <v>5075</v>
          </cell>
          <cell r="AJ50">
            <v>2217</v>
          </cell>
          <cell r="AK50">
            <v>6062</v>
          </cell>
          <cell r="DN50">
            <v>192714</v>
          </cell>
          <cell r="DO50">
            <v>50</v>
          </cell>
        </row>
        <row r="51">
          <cell r="A51" t="str">
            <v>Bloomington-Normal, IL Metro Area</v>
          </cell>
          <cell r="B51">
            <v>15669</v>
          </cell>
          <cell r="C51">
            <v>32061</v>
          </cell>
          <cell r="D51">
            <v>31396</v>
          </cell>
          <cell r="E51">
            <v>32689</v>
          </cell>
          <cell r="F51">
            <v>19622</v>
          </cell>
          <cell r="G51">
            <v>1235</v>
          </cell>
          <cell r="J51">
            <v>9006</v>
          </cell>
          <cell r="K51">
            <v>3845</v>
          </cell>
          <cell r="L51">
            <v>3161</v>
          </cell>
          <cell r="M51">
            <v>6749</v>
          </cell>
          <cell r="Q51">
            <v>2474</v>
          </cell>
          <cell r="T51">
            <v>2420</v>
          </cell>
          <cell r="U51">
            <v>7356</v>
          </cell>
          <cell r="V51">
            <v>1889</v>
          </cell>
          <cell r="DN51">
            <v>169572</v>
          </cell>
          <cell r="DO51">
            <v>51</v>
          </cell>
        </row>
        <row r="52">
          <cell r="A52" t="str">
            <v>Boise City-Nampa, ID Metro Area</v>
          </cell>
          <cell r="B52">
            <v>3897</v>
          </cell>
          <cell r="C52">
            <v>40119</v>
          </cell>
          <cell r="D52">
            <v>39290</v>
          </cell>
          <cell r="E52">
            <v>43909</v>
          </cell>
          <cell r="F52">
            <v>14246</v>
          </cell>
          <cell r="G52">
            <v>38789</v>
          </cell>
          <cell r="H52">
            <v>40545</v>
          </cell>
          <cell r="I52">
            <v>15873</v>
          </cell>
          <cell r="J52">
            <v>45426</v>
          </cell>
          <cell r="K52">
            <v>35144</v>
          </cell>
          <cell r="L52">
            <v>20546</v>
          </cell>
          <cell r="M52">
            <v>26250</v>
          </cell>
          <cell r="O52">
            <v>18941</v>
          </cell>
          <cell r="P52">
            <v>12955</v>
          </cell>
          <cell r="R52">
            <v>8612</v>
          </cell>
          <cell r="S52">
            <v>20523</v>
          </cell>
          <cell r="T52">
            <v>32260</v>
          </cell>
          <cell r="U52">
            <v>14485</v>
          </cell>
          <cell r="V52">
            <v>28309</v>
          </cell>
          <cell r="W52">
            <v>4943</v>
          </cell>
          <cell r="X52">
            <v>22782</v>
          </cell>
          <cell r="Y52">
            <v>19191</v>
          </cell>
          <cell r="Z52">
            <v>28235</v>
          </cell>
          <cell r="AA52">
            <v>10605</v>
          </cell>
          <cell r="AC52">
            <v>5630</v>
          </cell>
          <cell r="AD52">
            <v>3949</v>
          </cell>
          <cell r="AG52">
            <v>3279</v>
          </cell>
          <cell r="AK52">
            <v>4735</v>
          </cell>
          <cell r="AM52">
            <v>4334</v>
          </cell>
          <cell r="AO52">
            <v>4846</v>
          </cell>
          <cell r="AT52">
            <v>3913</v>
          </cell>
          <cell r="DN52">
            <v>616561</v>
          </cell>
          <cell r="DO52">
            <v>52</v>
          </cell>
        </row>
        <row r="53">
          <cell r="A53" t="str">
            <v>Boston-Cambridge-Quincy, MA-NH Metro Area</v>
          </cell>
          <cell r="B53">
            <v>39046</v>
          </cell>
          <cell r="C53">
            <v>144478</v>
          </cell>
          <cell r="D53">
            <v>178135</v>
          </cell>
          <cell r="E53">
            <v>269271</v>
          </cell>
          <cell r="F53">
            <v>247160</v>
          </cell>
          <cell r="G53">
            <v>184203</v>
          </cell>
          <cell r="H53">
            <v>149618</v>
          </cell>
          <cell r="I53">
            <v>164644</v>
          </cell>
          <cell r="J53">
            <v>194077</v>
          </cell>
          <cell r="K53">
            <v>158657</v>
          </cell>
          <cell r="L53">
            <v>112427</v>
          </cell>
          <cell r="M53">
            <v>143325</v>
          </cell>
          <cell r="N53">
            <v>80685</v>
          </cell>
          <cell r="O53">
            <v>137038</v>
          </cell>
          <cell r="P53">
            <v>101550</v>
          </cell>
          <cell r="Q53">
            <v>113725</v>
          </cell>
          <cell r="R53">
            <v>103752</v>
          </cell>
          <cell r="S53">
            <v>102313</v>
          </cell>
          <cell r="T53">
            <v>143030</v>
          </cell>
          <cell r="U53">
            <v>96390</v>
          </cell>
          <cell r="V53">
            <v>116287</v>
          </cell>
          <cell r="W53">
            <v>70932</v>
          </cell>
          <cell r="X53">
            <v>107749</v>
          </cell>
          <cell r="Y53">
            <v>149221</v>
          </cell>
          <cell r="Z53">
            <v>143059</v>
          </cell>
          <cell r="AA53">
            <v>135337</v>
          </cell>
          <cell r="AB53">
            <v>83067</v>
          </cell>
          <cell r="AC53">
            <v>98557</v>
          </cell>
          <cell r="AD53">
            <v>49163</v>
          </cell>
          <cell r="AE53">
            <v>56230</v>
          </cell>
          <cell r="AF53">
            <v>51618</v>
          </cell>
          <cell r="AG53">
            <v>14899</v>
          </cell>
          <cell r="AH53">
            <v>38559</v>
          </cell>
          <cell r="AI53">
            <v>46490</v>
          </cell>
          <cell r="AJ53">
            <v>37371</v>
          </cell>
          <cell r="AK53">
            <v>37646</v>
          </cell>
          <cell r="AL53">
            <v>17002</v>
          </cell>
          <cell r="AM53">
            <v>35745</v>
          </cell>
          <cell r="AN53">
            <v>30046</v>
          </cell>
          <cell r="AO53">
            <v>30396</v>
          </cell>
          <cell r="AP53">
            <v>18002</v>
          </cell>
          <cell r="AQ53">
            <v>15002</v>
          </cell>
          <cell r="AR53">
            <v>18964</v>
          </cell>
          <cell r="AS53">
            <v>29958</v>
          </cell>
          <cell r="AT53">
            <v>17513</v>
          </cell>
          <cell r="AU53">
            <v>13622</v>
          </cell>
          <cell r="AV53">
            <v>18152</v>
          </cell>
          <cell r="AW53">
            <v>25223</v>
          </cell>
          <cell r="AX53">
            <v>17578</v>
          </cell>
          <cell r="AY53">
            <v>11123</v>
          </cell>
          <cell r="AZ53">
            <v>3364</v>
          </cell>
          <cell r="BA53">
            <v>12089</v>
          </cell>
          <cell r="BB53">
            <v>5170</v>
          </cell>
          <cell r="BC53">
            <v>16045</v>
          </cell>
          <cell r="BD53">
            <v>11054</v>
          </cell>
          <cell r="BF53">
            <v>10890</v>
          </cell>
          <cell r="BH53">
            <v>14938</v>
          </cell>
          <cell r="BI53">
            <v>16976</v>
          </cell>
          <cell r="BK53">
            <v>7491</v>
          </cell>
          <cell r="BL53">
            <v>14728</v>
          </cell>
          <cell r="BM53">
            <v>4872</v>
          </cell>
          <cell r="BO53">
            <v>13288</v>
          </cell>
          <cell r="BQ53">
            <v>7657</v>
          </cell>
          <cell r="BT53">
            <v>6786</v>
          </cell>
          <cell r="BX53">
            <v>4598</v>
          </cell>
          <cell r="BY53">
            <v>4421</v>
          </cell>
          <cell r="DN53">
            <v>4552402</v>
          </cell>
          <cell r="DO53">
            <v>53</v>
          </cell>
        </row>
        <row r="54">
          <cell r="A54" t="str">
            <v>Boulder, CO Metro Area</v>
          </cell>
          <cell r="B54">
            <v>29456</v>
          </cell>
          <cell r="C54">
            <v>12253</v>
          </cell>
          <cell r="D54">
            <v>38204</v>
          </cell>
          <cell r="E54">
            <v>18295</v>
          </cell>
          <cell r="F54">
            <v>15720</v>
          </cell>
          <cell r="G54">
            <v>5123</v>
          </cell>
          <cell r="H54">
            <v>1811</v>
          </cell>
          <cell r="I54">
            <v>20345</v>
          </cell>
          <cell r="J54">
            <v>16015</v>
          </cell>
          <cell r="K54">
            <v>23093</v>
          </cell>
          <cell r="L54">
            <v>27122</v>
          </cell>
          <cell r="M54">
            <v>4345</v>
          </cell>
          <cell r="N54">
            <v>10644</v>
          </cell>
          <cell r="O54">
            <v>14718</v>
          </cell>
          <cell r="P54">
            <v>14620</v>
          </cell>
          <cell r="Q54">
            <v>30639</v>
          </cell>
          <cell r="R54">
            <v>12164</v>
          </cell>
          <cell r="DN54">
            <v>294567</v>
          </cell>
          <cell r="DO54">
            <v>54</v>
          </cell>
        </row>
        <row r="55">
          <cell r="A55" t="str">
            <v>Bowling Green, KY Metro Area</v>
          </cell>
          <cell r="B55">
            <v>17095</v>
          </cell>
          <cell r="C55">
            <v>18630</v>
          </cell>
          <cell r="D55">
            <v>9305</v>
          </cell>
          <cell r="E55">
            <v>14922</v>
          </cell>
          <cell r="F55">
            <v>8025</v>
          </cell>
          <cell r="G55">
            <v>13833</v>
          </cell>
          <cell r="H55">
            <v>14081</v>
          </cell>
          <cell r="J55">
            <v>5671</v>
          </cell>
          <cell r="K55">
            <v>6605</v>
          </cell>
          <cell r="M55">
            <v>5625</v>
          </cell>
          <cell r="Q55">
            <v>6288</v>
          </cell>
          <cell r="U55">
            <v>4237</v>
          </cell>
          <cell r="Z55">
            <v>1636</v>
          </cell>
          <cell r="DN55">
            <v>125953</v>
          </cell>
          <cell r="DO55">
            <v>55</v>
          </cell>
        </row>
        <row r="56">
          <cell r="A56" t="str">
            <v>Bremerton-Silverdale, WA Metro Area</v>
          </cell>
          <cell r="B56">
            <v>9430</v>
          </cell>
          <cell r="C56">
            <v>24552</v>
          </cell>
          <cell r="D56">
            <v>15760</v>
          </cell>
          <cell r="E56">
            <v>35502</v>
          </cell>
          <cell r="F56">
            <v>28002</v>
          </cell>
          <cell r="G56">
            <v>15515</v>
          </cell>
          <cell r="H56">
            <v>17268</v>
          </cell>
          <cell r="I56">
            <v>21826</v>
          </cell>
          <cell r="J56">
            <v>9817</v>
          </cell>
          <cell r="K56">
            <v>19729</v>
          </cell>
          <cell r="L56">
            <v>14525</v>
          </cell>
          <cell r="M56">
            <v>14663</v>
          </cell>
          <cell r="O56">
            <v>3500</v>
          </cell>
          <cell r="P56">
            <v>5079</v>
          </cell>
          <cell r="Q56">
            <v>4573</v>
          </cell>
          <cell r="S56">
            <v>5781</v>
          </cell>
          <cell r="V56">
            <v>5611</v>
          </cell>
          <cell r="DN56">
            <v>251133</v>
          </cell>
          <cell r="DO56">
            <v>56</v>
          </cell>
        </row>
        <row r="57">
          <cell r="A57" t="str">
            <v>Bridgeport-Stamford-Norwalk, CT Metro Area</v>
          </cell>
          <cell r="B57">
            <v>35829</v>
          </cell>
          <cell r="C57">
            <v>65419</v>
          </cell>
          <cell r="D57">
            <v>65958</v>
          </cell>
          <cell r="E57">
            <v>57740</v>
          </cell>
          <cell r="F57">
            <v>31551</v>
          </cell>
          <cell r="G57">
            <v>17190</v>
          </cell>
          <cell r="H57">
            <v>18109</v>
          </cell>
          <cell r="I57">
            <v>22298</v>
          </cell>
          <cell r="J57">
            <v>13136</v>
          </cell>
          <cell r="K57">
            <v>31067</v>
          </cell>
          <cell r="L57">
            <v>27766</v>
          </cell>
          <cell r="M57">
            <v>32918</v>
          </cell>
          <cell r="N57">
            <v>30503</v>
          </cell>
          <cell r="O57">
            <v>41008</v>
          </cell>
          <cell r="P57">
            <v>32331</v>
          </cell>
          <cell r="Q57">
            <v>14159</v>
          </cell>
          <cell r="R57">
            <v>29557</v>
          </cell>
          <cell r="S57">
            <v>35805</v>
          </cell>
          <cell r="T57">
            <v>42690</v>
          </cell>
          <cell r="U57">
            <v>82567</v>
          </cell>
          <cell r="V57">
            <v>46552</v>
          </cell>
          <cell r="W57">
            <v>37479</v>
          </cell>
          <cell r="X57">
            <v>42950</v>
          </cell>
          <cell r="Y57">
            <v>15139</v>
          </cell>
          <cell r="Z57">
            <v>5424</v>
          </cell>
          <cell r="AA57">
            <v>19624</v>
          </cell>
          <cell r="AB57">
            <v>15260</v>
          </cell>
          <cell r="AC57">
            <v>3219</v>
          </cell>
          <cell r="AG57">
            <v>3581</v>
          </cell>
          <cell r="DN57">
            <v>916829</v>
          </cell>
          <cell r="DO57">
            <v>57</v>
          </cell>
        </row>
        <row r="58">
          <cell r="A58" t="str">
            <v>Brownsville-Harlingen, TX Metro Area</v>
          </cell>
          <cell r="B58">
            <v>15134</v>
          </cell>
          <cell r="C58">
            <v>16878</v>
          </cell>
          <cell r="D58">
            <v>37733</v>
          </cell>
          <cell r="E58">
            <v>36457</v>
          </cell>
          <cell r="F58">
            <v>46584</v>
          </cell>
          <cell r="G58">
            <v>25434</v>
          </cell>
          <cell r="H58">
            <v>18498</v>
          </cell>
          <cell r="J58">
            <v>2756</v>
          </cell>
          <cell r="K58">
            <v>3780</v>
          </cell>
          <cell r="M58">
            <v>11386</v>
          </cell>
          <cell r="O58">
            <v>9119</v>
          </cell>
          <cell r="Q58">
            <v>10831</v>
          </cell>
          <cell r="R58">
            <v>5824</v>
          </cell>
          <cell r="S58">
            <v>17868</v>
          </cell>
          <cell r="T58">
            <v>16117</v>
          </cell>
          <cell r="U58">
            <v>6837</v>
          </cell>
          <cell r="W58">
            <v>18396</v>
          </cell>
          <cell r="X58">
            <v>10656</v>
          </cell>
          <cell r="Y58">
            <v>24979</v>
          </cell>
          <cell r="Z58">
            <v>24928</v>
          </cell>
          <cell r="AA58">
            <v>14290</v>
          </cell>
          <cell r="AB58">
            <v>15937</v>
          </cell>
          <cell r="AC58">
            <v>10338</v>
          </cell>
          <cell r="AG58">
            <v>5460</v>
          </cell>
          <cell r="DN58">
            <v>406220</v>
          </cell>
          <cell r="DO58">
            <v>58</v>
          </cell>
        </row>
        <row r="59">
          <cell r="A59" t="str">
            <v>Brunswick, GA Metro Area</v>
          </cell>
          <cell r="B59">
            <v>8209</v>
          </cell>
          <cell r="C59">
            <v>3843</v>
          </cell>
          <cell r="D59">
            <v>7757</v>
          </cell>
          <cell r="E59">
            <v>4073</v>
          </cell>
          <cell r="F59">
            <v>9673</v>
          </cell>
          <cell r="G59">
            <v>13167</v>
          </cell>
          <cell r="H59">
            <v>5818</v>
          </cell>
          <cell r="I59">
            <v>3553</v>
          </cell>
          <cell r="J59">
            <v>23533</v>
          </cell>
          <cell r="R59">
            <v>4195</v>
          </cell>
          <cell r="U59">
            <v>6832</v>
          </cell>
          <cell r="X59">
            <v>5706</v>
          </cell>
          <cell r="AD59">
            <v>6224</v>
          </cell>
          <cell r="AE59">
            <v>4432</v>
          </cell>
          <cell r="AP59">
            <v>5355</v>
          </cell>
          <cell r="DN59">
            <v>112370</v>
          </cell>
          <cell r="DO59">
            <v>59</v>
          </cell>
        </row>
        <row r="60">
          <cell r="A60" t="str">
            <v>Buffalo-Niagara Falls, NY Metro Area</v>
          </cell>
          <cell r="B60">
            <v>18580</v>
          </cell>
          <cell r="C60">
            <v>37079</v>
          </cell>
          <cell r="D60">
            <v>42324</v>
          </cell>
          <cell r="E60">
            <v>65765</v>
          </cell>
          <cell r="F60">
            <v>89728</v>
          </cell>
          <cell r="G60">
            <v>87475</v>
          </cell>
          <cell r="H60">
            <v>66467</v>
          </cell>
          <cell r="I60">
            <v>82559</v>
          </cell>
          <cell r="J60">
            <v>77167</v>
          </cell>
          <cell r="K60">
            <v>60415</v>
          </cell>
          <cell r="L60">
            <v>63280</v>
          </cell>
          <cell r="M60">
            <v>97353</v>
          </cell>
          <cell r="N60">
            <v>25867</v>
          </cell>
          <cell r="O60">
            <v>25792</v>
          </cell>
          <cell r="P60">
            <v>37463</v>
          </cell>
          <cell r="Q60">
            <v>31514</v>
          </cell>
          <cell r="R60">
            <v>42580</v>
          </cell>
          <cell r="S60">
            <v>21589</v>
          </cell>
          <cell r="T60">
            <v>19200</v>
          </cell>
          <cell r="U60">
            <v>16604</v>
          </cell>
          <cell r="V60">
            <v>17693</v>
          </cell>
          <cell r="W60">
            <v>36703</v>
          </cell>
          <cell r="X60">
            <v>12305</v>
          </cell>
          <cell r="Z60">
            <v>9469</v>
          </cell>
          <cell r="AA60">
            <v>9973</v>
          </cell>
          <cell r="AB60">
            <v>7512</v>
          </cell>
          <cell r="AC60">
            <v>11879</v>
          </cell>
          <cell r="AD60">
            <v>8589</v>
          </cell>
          <cell r="AE60">
            <v>1264</v>
          </cell>
          <cell r="AF60">
            <v>5792</v>
          </cell>
          <cell r="AG60">
            <v>2867</v>
          </cell>
          <cell r="AK60">
            <v>2662</v>
          </cell>
          <cell r="DN60">
            <v>1135509</v>
          </cell>
          <cell r="DO60">
            <v>60</v>
          </cell>
        </row>
        <row r="61">
          <cell r="A61" t="str">
            <v>Burlington, NC Metro Area</v>
          </cell>
          <cell r="B61">
            <v>13917</v>
          </cell>
          <cell r="C61">
            <v>16997</v>
          </cell>
          <cell r="D61">
            <v>28144</v>
          </cell>
          <cell r="E61">
            <v>2668</v>
          </cell>
          <cell r="F61">
            <v>29032</v>
          </cell>
          <cell r="G61">
            <v>5887</v>
          </cell>
          <cell r="I61">
            <v>22257</v>
          </cell>
          <cell r="J61">
            <v>11041</v>
          </cell>
          <cell r="K61">
            <v>9610</v>
          </cell>
          <cell r="L61">
            <v>4276</v>
          </cell>
          <cell r="P61">
            <v>7302</v>
          </cell>
          <cell r="DN61">
            <v>151131</v>
          </cell>
          <cell r="DO61">
            <v>61</v>
          </cell>
        </row>
        <row r="62">
          <cell r="A62" t="str">
            <v>Burlington-South Burlington, VT Metro Area</v>
          </cell>
          <cell r="B62">
            <v>29791</v>
          </cell>
          <cell r="C62">
            <v>9688</v>
          </cell>
          <cell r="D62">
            <v>14342</v>
          </cell>
          <cell r="E62">
            <v>13767</v>
          </cell>
          <cell r="F62">
            <v>20045</v>
          </cell>
          <cell r="G62">
            <v>4088</v>
          </cell>
          <cell r="H62">
            <v>23428</v>
          </cell>
          <cell r="J62">
            <v>4935</v>
          </cell>
          <cell r="M62">
            <v>25443</v>
          </cell>
          <cell r="O62">
            <v>2823</v>
          </cell>
          <cell r="P62">
            <v>6227</v>
          </cell>
          <cell r="Q62">
            <v>3698</v>
          </cell>
          <cell r="S62">
            <v>6483</v>
          </cell>
          <cell r="T62">
            <v>5562</v>
          </cell>
          <cell r="Y62">
            <v>9450</v>
          </cell>
          <cell r="Z62">
            <v>3467</v>
          </cell>
          <cell r="AC62">
            <v>3213</v>
          </cell>
          <cell r="AF62">
            <v>9699</v>
          </cell>
          <cell r="AI62">
            <v>7130</v>
          </cell>
          <cell r="AM62">
            <v>4473</v>
          </cell>
          <cell r="AS62">
            <v>3509</v>
          </cell>
          <cell r="DN62">
            <v>211261</v>
          </cell>
          <cell r="DO62">
            <v>62</v>
          </cell>
        </row>
        <row r="63">
          <cell r="A63" t="str">
            <v>Canton-Massillon, OH Metro Area</v>
          </cell>
          <cell r="B63">
            <v>7488</v>
          </cell>
          <cell r="C63">
            <v>37677</v>
          </cell>
          <cell r="D63">
            <v>22626</v>
          </cell>
          <cell r="E63">
            <v>39391</v>
          </cell>
          <cell r="F63">
            <v>28902</v>
          </cell>
          <cell r="G63">
            <v>34911</v>
          </cell>
          <cell r="H63">
            <v>26667</v>
          </cell>
          <cell r="I63">
            <v>41439</v>
          </cell>
          <cell r="J63">
            <v>35325</v>
          </cell>
          <cell r="K63">
            <v>3950</v>
          </cell>
          <cell r="L63">
            <v>23836</v>
          </cell>
          <cell r="M63">
            <v>7624</v>
          </cell>
          <cell r="N63">
            <v>22892</v>
          </cell>
          <cell r="O63">
            <v>16477</v>
          </cell>
          <cell r="P63">
            <v>3960</v>
          </cell>
          <cell r="Q63">
            <v>17581</v>
          </cell>
          <cell r="R63">
            <v>18058</v>
          </cell>
          <cell r="W63">
            <v>8914</v>
          </cell>
          <cell r="Z63">
            <v>3253</v>
          </cell>
          <cell r="AC63">
            <v>3451</v>
          </cell>
          <cell r="DN63">
            <v>404422</v>
          </cell>
          <cell r="DO63">
            <v>63</v>
          </cell>
        </row>
        <row r="64">
          <cell r="A64" t="str">
            <v>Cape Coral-Fort Myers, FL Metro Area</v>
          </cell>
          <cell r="B64">
            <v>5245</v>
          </cell>
          <cell r="C64">
            <v>35110</v>
          </cell>
          <cell r="D64">
            <v>20948</v>
          </cell>
          <cell r="E64">
            <v>36507</v>
          </cell>
          <cell r="F64">
            <v>36741</v>
          </cell>
          <cell r="G64">
            <v>61015</v>
          </cell>
          <cell r="H64">
            <v>42478</v>
          </cell>
          <cell r="I64">
            <v>42238</v>
          </cell>
          <cell r="J64">
            <v>49636</v>
          </cell>
          <cell r="K64">
            <v>19501</v>
          </cell>
          <cell r="L64">
            <v>25181</v>
          </cell>
          <cell r="M64">
            <v>12117</v>
          </cell>
          <cell r="N64">
            <v>10454</v>
          </cell>
          <cell r="O64">
            <v>25359</v>
          </cell>
          <cell r="P64">
            <v>35873</v>
          </cell>
          <cell r="Q64">
            <v>11917</v>
          </cell>
          <cell r="R64">
            <v>20722</v>
          </cell>
          <cell r="S64">
            <v>19303</v>
          </cell>
          <cell r="T64">
            <v>17507</v>
          </cell>
          <cell r="U64">
            <v>8484</v>
          </cell>
          <cell r="V64">
            <v>19695</v>
          </cell>
          <cell r="W64">
            <v>17974</v>
          </cell>
          <cell r="X64">
            <v>18249</v>
          </cell>
          <cell r="Y64">
            <v>19033</v>
          </cell>
          <cell r="Z64">
            <v>2939</v>
          </cell>
          <cell r="AB64">
            <v>4528</v>
          </cell>
          <cell r="DN64">
            <v>618754</v>
          </cell>
          <cell r="DO64">
            <v>64</v>
          </cell>
        </row>
        <row r="65">
          <cell r="A65" t="str">
            <v>Cape Girardeau-Jackson, MO-IL Metro Area</v>
          </cell>
          <cell r="B65">
            <v>9074</v>
          </cell>
          <cell r="C65">
            <v>8641</v>
          </cell>
          <cell r="D65">
            <v>10873</v>
          </cell>
          <cell r="E65">
            <v>6361</v>
          </cell>
          <cell r="F65">
            <v>4483</v>
          </cell>
          <cell r="G65">
            <v>6347</v>
          </cell>
          <cell r="J65">
            <v>9040</v>
          </cell>
          <cell r="K65">
            <v>2928</v>
          </cell>
          <cell r="L65">
            <v>6908</v>
          </cell>
          <cell r="M65">
            <v>2172</v>
          </cell>
          <cell r="O65">
            <v>4387</v>
          </cell>
          <cell r="P65">
            <v>3822</v>
          </cell>
          <cell r="R65">
            <v>5738</v>
          </cell>
          <cell r="Z65">
            <v>4609</v>
          </cell>
          <cell r="AB65">
            <v>1528</v>
          </cell>
          <cell r="AD65">
            <v>6301</v>
          </cell>
          <cell r="AE65">
            <v>3063</v>
          </cell>
          <cell r="DN65">
            <v>96275</v>
          </cell>
          <cell r="DO65">
            <v>65</v>
          </cell>
        </row>
        <row r="66">
          <cell r="A66" t="str">
            <v>Carson City, NV Metro Area</v>
          </cell>
          <cell r="B66">
            <v>12556</v>
          </cell>
          <cell r="C66">
            <v>20804</v>
          </cell>
          <cell r="D66">
            <v>17133</v>
          </cell>
          <cell r="E66">
            <v>4781</v>
          </cell>
          <cell r="DN66">
            <v>55274</v>
          </cell>
          <cell r="DO66">
            <v>66</v>
          </cell>
        </row>
        <row r="67">
          <cell r="A67" t="str">
            <v>Casper, WY Metro Area</v>
          </cell>
          <cell r="B67">
            <v>8331</v>
          </cell>
          <cell r="C67">
            <v>18064</v>
          </cell>
          <cell r="D67">
            <v>21218</v>
          </cell>
          <cell r="E67">
            <v>5596</v>
          </cell>
          <cell r="F67">
            <v>8003</v>
          </cell>
          <cell r="G67">
            <v>4482</v>
          </cell>
          <cell r="H67">
            <v>4136</v>
          </cell>
          <cell r="K67">
            <v>5620</v>
          </cell>
          <cell r="DN67">
            <v>75450</v>
          </cell>
          <cell r="DO67">
            <v>67</v>
          </cell>
        </row>
        <row r="68">
          <cell r="A68" t="str">
            <v>Cedar Rapids, IA Metro Area</v>
          </cell>
          <cell r="B68">
            <v>11980</v>
          </cell>
          <cell r="C68">
            <v>8949</v>
          </cell>
          <cell r="D68">
            <v>30523</v>
          </cell>
          <cell r="E68">
            <v>46039</v>
          </cell>
          <cell r="F68">
            <v>33264</v>
          </cell>
          <cell r="G68">
            <v>29678</v>
          </cell>
          <cell r="H68">
            <v>12535</v>
          </cell>
          <cell r="I68">
            <v>7327</v>
          </cell>
          <cell r="J68">
            <v>9264</v>
          </cell>
          <cell r="L68">
            <v>5760</v>
          </cell>
          <cell r="M68">
            <v>3270</v>
          </cell>
          <cell r="N68">
            <v>3731</v>
          </cell>
          <cell r="O68">
            <v>7636</v>
          </cell>
          <cell r="R68">
            <v>7330</v>
          </cell>
          <cell r="S68">
            <v>3012</v>
          </cell>
          <cell r="T68">
            <v>2970</v>
          </cell>
          <cell r="U68">
            <v>5410</v>
          </cell>
          <cell r="X68">
            <v>12319</v>
          </cell>
          <cell r="Y68">
            <v>3251</v>
          </cell>
          <cell r="AF68">
            <v>6916</v>
          </cell>
          <cell r="AG68">
            <v>4216</v>
          </cell>
          <cell r="AK68">
            <v>2560</v>
          </cell>
          <cell r="DN68">
            <v>257940</v>
          </cell>
          <cell r="DO68">
            <v>68</v>
          </cell>
        </row>
        <row r="69">
          <cell r="A69" t="str">
            <v>Champaign-Urbana, IL Metro Area</v>
          </cell>
          <cell r="B69">
            <v>30036</v>
          </cell>
          <cell r="C69">
            <v>34012</v>
          </cell>
          <cell r="D69">
            <v>38220</v>
          </cell>
          <cell r="E69">
            <v>37019</v>
          </cell>
          <cell r="F69">
            <v>5037</v>
          </cell>
          <cell r="J69">
            <v>16446</v>
          </cell>
          <cell r="L69">
            <v>5549</v>
          </cell>
          <cell r="M69">
            <v>8057</v>
          </cell>
          <cell r="O69">
            <v>8323</v>
          </cell>
          <cell r="P69">
            <v>18382</v>
          </cell>
          <cell r="Q69">
            <v>4582</v>
          </cell>
          <cell r="T69">
            <v>5900</v>
          </cell>
          <cell r="Y69">
            <v>3430</v>
          </cell>
          <cell r="Z69">
            <v>4448</v>
          </cell>
          <cell r="AA69">
            <v>3643</v>
          </cell>
          <cell r="AB69">
            <v>2236</v>
          </cell>
          <cell r="AD69">
            <v>2817</v>
          </cell>
          <cell r="AE69">
            <v>1762</v>
          </cell>
          <cell r="AY69">
            <v>1992</v>
          </cell>
          <cell r="DN69">
            <v>231891</v>
          </cell>
          <cell r="DO69">
            <v>69</v>
          </cell>
        </row>
        <row r="70">
          <cell r="A70" t="str">
            <v>Charleston, WV Metro Area</v>
          </cell>
          <cell r="B70">
            <v>6229</v>
          </cell>
          <cell r="C70">
            <v>21773</v>
          </cell>
          <cell r="D70">
            <v>17821</v>
          </cell>
          <cell r="E70">
            <v>10951</v>
          </cell>
          <cell r="F70">
            <v>10829</v>
          </cell>
          <cell r="G70">
            <v>15328</v>
          </cell>
          <cell r="H70">
            <v>11076</v>
          </cell>
          <cell r="I70">
            <v>19872</v>
          </cell>
          <cell r="J70">
            <v>7559</v>
          </cell>
          <cell r="K70">
            <v>11326</v>
          </cell>
          <cell r="L70">
            <v>16468</v>
          </cell>
          <cell r="M70">
            <v>19501</v>
          </cell>
          <cell r="N70">
            <v>10321</v>
          </cell>
          <cell r="O70">
            <v>5325</v>
          </cell>
          <cell r="P70">
            <v>5448</v>
          </cell>
          <cell r="Q70">
            <v>10604</v>
          </cell>
          <cell r="R70">
            <v>11513</v>
          </cell>
          <cell r="S70">
            <v>10402</v>
          </cell>
          <cell r="T70">
            <v>9589</v>
          </cell>
          <cell r="U70">
            <v>15201</v>
          </cell>
          <cell r="V70">
            <v>7475</v>
          </cell>
          <cell r="W70">
            <v>8316</v>
          </cell>
          <cell r="X70">
            <v>5363</v>
          </cell>
          <cell r="Y70">
            <v>2145</v>
          </cell>
          <cell r="AA70">
            <v>12968</v>
          </cell>
          <cell r="AC70">
            <v>3653</v>
          </cell>
          <cell r="AF70">
            <v>5577</v>
          </cell>
          <cell r="AG70">
            <v>4682</v>
          </cell>
          <cell r="AJ70">
            <v>3433</v>
          </cell>
          <cell r="AK70">
            <v>3536</v>
          </cell>
          <cell r="DN70">
            <v>304284</v>
          </cell>
          <cell r="DO70">
            <v>70</v>
          </cell>
        </row>
        <row r="71">
          <cell r="A71" t="str">
            <v>Charleston-North Charleston-Summerville, SC Metro Area</v>
          </cell>
          <cell r="B71">
            <v>14546</v>
          </cell>
          <cell r="C71">
            <v>10969</v>
          </cell>
          <cell r="D71">
            <v>22102</v>
          </cell>
          <cell r="E71">
            <v>30733</v>
          </cell>
          <cell r="F71">
            <v>27151</v>
          </cell>
          <cell r="G71">
            <v>41326</v>
          </cell>
          <cell r="H71">
            <v>31924</v>
          </cell>
          <cell r="I71">
            <v>16165</v>
          </cell>
          <cell r="J71">
            <v>36138</v>
          </cell>
          <cell r="K71">
            <v>23870</v>
          </cell>
          <cell r="L71">
            <v>31524</v>
          </cell>
          <cell r="M71">
            <v>14608</v>
          </cell>
          <cell r="N71">
            <v>21129</v>
          </cell>
          <cell r="O71">
            <v>18696</v>
          </cell>
          <cell r="P71">
            <v>30287</v>
          </cell>
          <cell r="Q71">
            <v>22695</v>
          </cell>
          <cell r="R71">
            <v>12937</v>
          </cell>
          <cell r="S71">
            <v>22629</v>
          </cell>
          <cell r="T71">
            <v>18365</v>
          </cell>
          <cell r="U71">
            <v>47874</v>
          </cell>
          <cell r="V71">
            <v>18091</v>
          </cell>
          <cell r="W71">
            <v>16106</v>
          </cell>
          <cell r="X71">
            <v>15826</v>
          </cell>
          <cell r="Y71">
            <v>25198</v>
          </cell>
          <cell r="Z71">
            <v>11704</v>
          </cell>
          <cell r="AA71">
            <v>2777</v>
          </cell>
          <cell r="AB71">
            <v>9319</v>
          </cell>
          <cell r="AC71">
            <v>2942</v>
          </cell>
          <cell r="AD71">
            <v>10293</v>
          </cell>
          <cell r="AE71">
            <v>8005</v>
          </cell>
          <cell r="AF71">
            <v>11254</v>
          </cell>
          <cell r="AK71">
            <v>7301</v>
          </cell>
          <cell r="AL71">
            <v>6350</v>
          </cell>
          <cell r="AR71">
            <v>12758</v>
          </cell>
          <cell r="AU71">
            <v>3332</v>
          </cell>
          <cell r="AW71">
            <v>5120</v>
          </cell>
          <cell r="AX71">
            <v>2563</v>
          </cell>
          <cell r="DN71">
            <v>664607</v>
          </cell>
          <cell r="DO71">
            <v>71</v>
          </cell>
        </row>
        <row r="72">
          <cell r="A72" t="str">
            <v>Charlotte-Gastonia-Rock Hill, NC-SC Metro Area</v>
          </cell>
          <cell r="B72">
            <v>15313</v>
          </cell>
          <cell r="C72">
            <v>31391</v>
          </cell>
          <cell r="D72">
            <v>54947</v>
          </cell>
          <cell r="E72">
            <v>40129</v>
          </cell>
          <cell r="F72">
            <v>79579</v>
          </cell>
          <cell r="G72">
            <v>63121</v>
          </cell>
          <cell r="H72">
            <v>103561</v>
          </cell>
          <cell r="I72">
            <v>81568</v>
          </cell>
          <cell r="J72">
            <v>98073</v>
          </cell>
          <cell r="K72">
            <v>85217</v>
          </cell>
          <cell r="L72">
            <v>79939</v>
          </cell>
          <cell r="M72">
            <v>75515</v>
          </cell>
          <cell r="N72">
            <v>84052</v>
          </cell>
          <cell r="O72">
            <v>75012</v>
          </cell>
          <cell r="P72">
            <v>82472</v>
          </cell>
          <cell r="Q72">
            <v>43096</v>
          </cell>
          <cell r="R72">
            <v>66843</v>
          </cell>
          <cell r="S72">
            <v>80324</v>
          </cell>
          <cell r="T72">
            <v>46093</v>
          </cell>
          <cell r="U72">
            <v>93320</v>
          </cell>
          <cell r="V72">
            <v>56205</v>
          </cell>
          <cell r="W72">
            <v>43997</v>
          </cell>
          <cell r="X72">
            <v>61622</v>
          </cell>
          <cell r="Y72">
            <v>34315</v>
          </cell>
          <cell r="Z72">
            <v>41761</v>
          </cell>
          <cell r="AA72">
            <v>27155</v>
          </cell>
          <cell r="AB72">
            <v>15492</v>
          </cell>
          <cell r="AC72">
            <v>22495</v>
          </cell>
          <cell r="AD72">
            <v>21488</v>
          </cell>
          <cell r="AG72">
            <v>9207</v>
          </cell>
          <cell r="AH72">
            <v>10789</v>
          </cell>
          <cell r="AI72">
            <v>2507</v>
          </cell>
          <cell r="AK72">
            <v>4492</v>
          </cell>
          <cell r="AM72">
            <v>8178</v>
          </cell>
          <cell r="AQ72">
            <v>1738</v>
          </cell>
          <cell r="AU72">
            <v>3032</v>
          </cell>
          <cell r="AV72">
            <v>6138</v>
          </cell>
          <cell r="AZ72">
            <v>4451</v>
          </cell>
          <cell r="BA72">
            <v>3411</v>
          </cell>
          <cell r="DN72">
            <v>1758038</v>
          </cell>
          <cell r="DO72">
            <v>72</v>
          </cell>
        </row>
        <row r="73">
          <cell r="A73" t="str">
            <v>Charlottesville, VA Metro Area</v>
          </cell>
          <cell r="B73">
            <v>12551</v>
          </cell>
          <cell r="C73">
            <v>29895</v>
          </cell>
          <cell r="D73">
            <v>23476</v>
          </cell>
          <cell r="E73">
            <v>17287</v>
          </cell>
          <cell r="G73">
            <v>3314</v>
          </cell>
          <cell r="H73">
            <v>26270</v>
          </cell>
          <cell r="I73">
            <v>4331</v>
          </cell>
          <cell r="K73">
            <v>4664</v>
          </cell>
          <cell r="M73">
            <v>14531</v>
          </cell>
          <cell r="N73">
            <v>12595</v>
          </cell>
          <cell r="O73">
            <v>4092</v>
          </cell>
          <cell r="P73">
            <v>9145</v>
          </cell>
          <cell r="Q73">
            <v>9662</v>
          </cell>
          <cell r="R73">
            <v>5393</v>
          </cell>
          <cell r="U73">
            <v>3865</v>
          </cell>
          <cell r="V73">
            <v>5468</v>
          </cell>
          <cell r="W73">
            <v>4911</v>
          </cell>
          <cell r="AD73">
            <v>5696</v>
          </cell>
          <cell r="AG73">
            <v>4413</v>
          </cell>
          <cell r="DN73">
            <v>201559</v>
          </cell>
          <cell r="DO73">
            <v>73</v>
          </cell>
        </row>
        <row r="74">
          <cell r="A74" t="str">
            <v>Chattanooga, TN-GA Metro Area</v>
          </cell>
          <cell r="B74">
            <v>10492</v>
          </cell>
          <cell r="C74">
            <v>8191</v>
          </cell>
          <cell r="D74">
            <v>29853</v>
          </cell>
          <cell r="E74">
            <v>30125</v>
          </cell>
          <cell r="F74">
            <v>32538</v>
          </cell>
          <cell r="G74">
            <v>34467</v>
          </cell>
          <cell r="H74">
            <v>31503</v>
          </cell>
          <cell r="I74">
            <v>23849</v>
          </cell>
          <cell r="J74">
            <v>33034</v>
          </cell>
          <cell r="K74">
            <v>27263</v>
          </cell>
          <cell r="L74">
            <v>21275</v>
          </cell>
          <cell r="M74">
            <v>47622</v>
          </cell>
          <cell r="N74">
            <v>33005</v>
          </cell>
          <cell r="O74">
            <v>16342</v>
          </cell>
          <cell r="P74">
            <v>12410</v>
          </cell>
          <cell r="Q74">
            <v>23497</v>
          </cell>
          <cell r="R74">
            <v>23340</v>
          </cell>
          <cell r="S74">
            <v>21869</v>
          </cell>
          <cell r="T74">
            <v>5459</v>
          </cell>
          <cell r="U74">
            <v>8956</v>
          </cell>
          <cell r="V74">
            <v>3264</v>
          </cell>
          <cell r="W74">
            <v>7820</v>
          </cell>
          <cell r="X74">
            <v>13540</v>
          </cell>
          <cell r="Y74">
            <v>11234</v>
          </cell>
          <cell r="AA74">
            <v>4284</v>
          </cell>
          <cell r="AC74">
            <v>5763</v>
          </cell>
          <cell r="AD74">
            <v>7148</v>
          </cell>
          <cell r="DN74">
            <v>528143</v>
          </cell>
          <cell r="DO74">
            <v>74</v>
          </cell>
        </row>
        <row r="75">
          <cell r="A75" t="str">
            <v>Cheyenne, WY Metro Area</v>
          </cell>
          <cell r="B75">
            <v>7364</v>
          </cell>
          <cell r="C75">
            <v>18928</v>
          </cell>
          <cell r="D75">
            <v>15259</v>
          </cell>
          <cell r="E75">
            <v>29219</v>
          </cell>
          <cell r="F75">
            <v>4765</v>
          </cell>
          <cell r="I75">
            <v>4891</v>
          </cell>
          <cell r="L75">
            <v>4182</v>
          </cell>
          <cell r="X75">
            <v>7130</v>
          </cell>
          <cell r="DN75">
            <v>91738</v>
          </cell>
          <cell r="DO75">
            <v>75</v>
          </cell>
        </row>
        <row r="76">
          <cell r="A76" t="str">
            <v>Chicago-Joliet-Naperville, IL-IN-WI Metro Area</v>
          </cell>
          <cell r="B76">
            <v>63120</v>
          </cell>
          <cell r="C76">
            <v>118594</v>
          </cell>
          <cell r="D76">
            <v>136808</v>
          </cell>
          <cell r="E76">
            <v>190427</v>
          </cell>
          <cell r="F76">
            <v>255451</v>
          </cell>
          <cell r="G76">
            <v>303034</v>
          </cell>
          <cell r="H76">
            <v>343825</v>
          </cell>
          <cell r="I76">
            <v>391099</v>
          </cell>
          <cell r="J76">
            <v>387235</v>
          </cell>
          <cell r="K76">
            <v>325137</v>
          </cell>
          <cell r="L76">
            <v>248295</v>
          </cell>
          <cell r="M76">
            <v>237047</v>
          </cell>
          <cell r="N76">
            <v>258591</v>
          </cell>
          <cell r="O76">
            <v>243478</v>
          </cell>
          <cell r="P76">
            <v>161628</v>
          </cell>
          <cell r="Q76">
            <v>164106</v>
          </cell>
          <cell r="R76">
            <v>153732</v>
          </cell>
          <cell r="S76">
            <v>151103</v>
          </cell>
          <cell r="T76">
            <v>210675</v>
          </cell>
          <cell r="U76">
            <v>196237</v>
          </cell>
          <cell r="V76">
            <v>199281</v>
          </cell>
          <cell r="W76">
            <v>175302</v>
          </cell>
          <cell r="X76">
            <v>225880</v>
          </cell>
          <cell r="Y76">
            <v>269334</v>
          </cell>
          <cell r="Z76">
            <v>208053</v>
          </cell>
          <cell r="AA76">
            <v>212750</v>
          </cell>
          <cell r="AB76">
            <v>244520</v>
          </cell>
          <cell r="AC76">
            <v>202936</v>
          </cell>
          <cell r="AD76">
            <v>213954</v>
          </cell>
          <cell r="AE76">
            <v>190750</v>
          </cell>
          <cell r="AF76">
            <v>154400</v>
          </cell>
          <cell r="AG76">
            <v>186870</v>
          </cell>
          <cell r="AH76">
            <v>154223</v>
          </cell>
          <cell r="AI76">
            <v>214027</v>
          </cell>
          <cell r="AJ76">
            <v>146608</v>
          </cell>
          <cell r="AK76">
            <v>246719</v>
          </cell>
          <cell r="AL76">
            <v>209452</v>
          </cell>
          <cell r="AM76">
            <v>134416</v>
          </cell>
          <cell r="AN76">
            <v>154374</v>
          </cell>
          <cell r="AO76">
            <v>128036</v>
          </cell>
          <cell r="AP76">
            <v>93866</v>
          </cell>
          <cell r="AQ76">
            <v>117553</v>
          </cell>
          <cell r="AR76">
            <v>120956</v>
          </cell>
          <cell r="AS76">
            <v>41072</v>
          </cell>
          <cell r="AT76">
            <v>69897</v>
          </cell>
          <cell r="AU76">
            <v>39542</v>
          </cell>
          <cell r="AV76">
            <v>50164</v>
          </cell>
          <cell r="AW76">
            <v>56152</v>
          </cell>
          <cell r="AX76">
            <v>51691</v>
          </cell>
          <cell r="AY76">
            <v>53592</v>
          </cell>
          <cell r="AZ76">
            <v>44322</v>
          </cell>
          <cell r="BA76">
            <v>32924</v>
          </cell>
          <cell r="BB76">
            <v>38579</v>
          </cell>
          <cell r="BC76">
            <v>52027</v>
          </cell>
          <cell r="BD76">
            <v>34974</v>
          </cell>
          <cell r="BE76">
            <v>14175</v>
          </cell>
          <cell r="BF76">
            <v>33884</v>
          </cell>
          <cell r="BG76">
            <v>20321</v>
          </cell>
          <cell r="BH76">
            <v>23375</v>
          </cell>
          <cell r="BI76">
            <v>10819</v>
          </cell>
          <cell r="BJ76">
            <v>6277</v>
          </cell>
          <cell r="BK76">
            <v>3260</v>
          </cell>
          <cell r="BL76">
            <v>16409</v>
          </cell>
          <cell r="BM76">
            <v>7337</v>
          </cell>
          <cell r="BS76">
            <v>3703</v>
          </cell>
          <cell r="BT76">
            <v>3944</v>
          </cell>
          <cell r="BX76">
            <v>2706</v>
          </cell>
          <cell r="BZ76">
            <v>2301</v>
          </cell>
          <cell r="CA76">
            <v>3776</v>
          </cell>
          <cell r="DN76">
            <v>9461105</v>
          </cell>
          <cell r="DO76">
            <v>76</v>
          </cell>
        </row>
        <row r="77">
          <cell r="A77" t="str">
            <v>Chico, CA Metro Area</v>
          </cell>
          <cell r="B77">
            <v>20350</v>
          </cell>
          <cell r="C77">
            <v>32042</v>
          </cell>
          <cell r="D77">
            <v>34672</v>
          </cell>
          <cell r="E77">
            <v>6194</v>
          </cell>
          <cell r="F77">
            <v>1771</v>
          </cell>
          <cell r="G77">
            <v>11094</v>
          </cell>
          <cell r="J77">
            <v>5266</v>
          </cell>
          <cell r="L77">
            <v>5156</v>
          </cell>
          <cell r="M77">
            <v>4599</v>
          </cell>
          <cell r="N77">
            <v>5640</v>
          </cell>
          <cell r="O77">
            <v>16254</v>
          </cell>
          <cell r="P77">
            <v>6225</v>
          </cell>
          <cell r="R77">
            <v>3060</v>
          </cell>
          <cell r="U77">
            <v>7990</v>
          </cell>
          <cell r="V77">
            <v>4505</v>
          </cell>
          <cell r="W77">
            <v>4275</v>
          </cell>
          <cell r="X77">
            <v>12022</v>
          </cell>
          <cell r="Y77">
            <v>7927</v>
          </cell>
          <cell r="Z77">
            <v>8612</v>
          </cell>
          <cell r="AA77">
            <v>9780</v>
          </cell>
          <cell r="AB77">
            <v>4758</v>
          </cell>
          <cell r="AC77">
            <v>2956</v>
          </cell>
          <cell r="AD77">
            <v>4852</v>
          </cell>
          <cell r="DN77">
            <v>220000</v>
          </cell>
          <cell r="DO77">
            <v>77</v>
          </cell>
        </row>
        <row r="78">
          <cell r="A78" t="str">
            <v>Cincinnati-Middletown, OH-KY-IN Metro Area</v>
          </cell>
          <cell r="B78">
            <v>17681</v>
          </cell>
          <cell r="C78">
            <v>47573</v>
          </cell>
          <cell r="D78">
            <v>72981</v>
          </cell>
          <cell r="E78">
            <v>67389</v>
          </cell>
          <cell r="F78">
            <v>110041</v>
          </cell>
          <cell r="G78">
            <v>84589</v>
          </cell>
          <cell r="H78">
            <v>79231</v>
          </cell>
          <cell r="I78">
            <v>101221</v>
          </cell>
          <cell r="J78">
            <v>105252</v>
          </cell>
          <cell r="K78">
            <v>77558</v>
          </cell>
          <cell r="L78">
            <v>99416</v>
          </cell>
          <cell r="M78">
            <v>103560</v>
          </cell>
          <cell r="N78">
            <v>82272</v>
          </cell>
          <cell r="O78">
            <v>73797</v>
          </cell>
          <cell r="P78">
            <v>42371</v>
          </cell>
          <cell r="Q78">
            <v>62487</v>
          </cell>
          <cell r="R78">
            <v>77824</v>
          </cell>
          <cell r="S78">
            <v>74796</v>
          </cell>
          <cell r="T78">
            <v>86357</v>
          </cell>
          <cell r="U78">
            <v>68887</v>
          </cell>
          <cell r="V78">
            <v>57622</v>
          </cell>
          <cell r="W78">
            <v>71715</v>
          </cell>
          <cell r="X78">
            <v>20521</v>
          </cell>
          <cell r="Y78">
            <v>46208</v>
          </cell>
          <cell r="Z78">
            <v>24512</v>
          </cell>
          <cell r="AA78">
            <v>29864</v>
          </cell>
          <cell r="AB78">
            <v>23295</v>
          </cell>
          <cell r="AC78">
            <v>48210</v>
          </cell>
          <cell r="AD78">
            <v>38410</v>
          </cell>
          <cell r="AE78">
            <v>42344</v>
          </cell>
          <cell r="AF78">
            <v>31225</v>
          </cell>
          <cell r="AG78">
            <v>25691</v>
          </cell>
          <cell r="AH78">
            <v>31938</v>
          </cell>
          <cell r="AI78">
            <v>9866</v>
          </cell>
          <cell r="AJ78">
            <v>17668</v>
          </cell>
          <cell r="AK78">
            <v>10395</v>
          </cell>
          <cell r="AL78">
            <v>20709</v>
          </cell>
          <cell r="AM78">
            <v>17843</v>
          </cell>
          <cell r="AO78">
            <v>4096</v>
          </cell>
          <cell r="AP78">
            <v>2181</v>
          </cell>
          <cell r="AQ78">
            <v>4865</v>
          </cell>
          <cell r="AR78">
            <v>5423</v>
          </cell>
          <cell r="AS78">
            <v>2673</v>
          </cell>
          <cell r="AT78">
            <v>3895</v>
          </cell>
          <cell r="AY78">
            <v>3699</v>
          </cell>
          <cell r="DN78">
            <v>2130151</v>
          </cell>
          <cell r="DO78">
            <v>78</v>
          </cell>
        </row>
        <row r="79">
          <cell r="A79" t="str">
            <v>Clarksville, TN-KY Metro Area</v>
          </cell>
          <cell r="B79">
            <v>5931</v>
          </cell>
          <cell r="C79">
            <v>12658</v>
          </cell>
          <cell r="D79">
            <v>7290</v>
          </cell>
          <cell r="E79">
            <v>25315</v>
          </cell>
          <cell r="F79">
            <v>32884</v>
          </cell>
          <cell r="G79">
            <v>11001</v>
          </cell>
          <cell r="H79">
            <v>8020</v>
          </cell>
          <cell r="I79">
            <v>46728</v>
          </cell>
          <cell r="J79">
            <v>12679</v>
          </cell>
          <cell r="K79">
            <v>7507</v>
          </cell>
          <cell r="L79">
            <v>18195</v>
          </cell>
          <cell r="M79">
            <v>5315</v>
          </cell>
          <cell r="O79">
            <v>0</v>
          </cell>
          <cell r="R79">
            <v>3099</v>
          </cell>
          <cell r="T79">
            <v>2817</v>
          </cell>
          <cell r="X79">
            <v>17904</v>
          </cell>
          <cell r="Y79">
            <v>6191</v>
          </cell>
          <cell r="Z79">
            <v>10269</v>
          </cell>
          <cell r="AA79">
            <v>6644</v>
          </cell>
          <cell r="AB79">
            <v>2660</v>
          </cell>
          <cell r="AC79">
            <v>6073</v>
          </cell>
          <cell r="AE79">
            <v>4233</v>
          </cell>
          <cell r="AH79">
            <v>6789</v>
          </cell>
          <cell r="AI79">
            <v>0</v>
          </cell>
          <cell r="AJ79">
            <v>4046</v>
          </cell>
          <cell r="AK79">
            <v>4729</v>
          </cell>
          <cell r="AM79">
            <v>2157</v>
          </cell>
          <cell r="AN79">
            <v>2797</v>
          </cell>
          <cell r="AQ79">
            <v>18</v>
          </cell>
          <cell r="DN79">
            <v>273949</v>
          </cell>
          <cell r="DO79">
            <v>79</v>
          </cell>
        </row>
        <row r="80">
          <cell r="A80" t="str">
            <v>Cleveland, TN Metro Area</v>
          </cell>
          <cell r="B80">
            <v>6277</v>
          </cell>
          <cell r="C80">
            <v>16849</v>
          </cell>
          <cell r="D80">
            <v>18739</v>
          </cell>
          <cell r="E80">
            <v>7617</v>
          </cell>
          <cell r="G80">
            <v>30894</v>
          </cell>
          <cell r="H80">
            <v>13797</v>
          </cell>
          <cell r="J80">
            <v>4790</v>
          </cell>
          <cell r="L80">
            <v>3855</v>
          </cell>
          <cell r="O80">
            <v>5742</v>
          </cell>
          <cell r="S80">
            <v>2226</v>
          </cell>
          <cell r="AE80">
            <v>3457</v>
          </cell>
          <cell r="AF80">
            <v>1545</v>
          </cell>
          <cell r="DN80">
            <v>115788</v>
          </cell>
          <cell r="DO80">
            <v>80</v>
          </cell>
        </row>
        <row r="81">
          <cell r="A81" t="str">
            <v>Cleveland-Elyria-Mentor, OH Metro Area</v>
          </cell>
          <cell r="B81">
            <v>9471</v>
          </cell>
          <cell r="C81">
            <v>22722</v>
          </cell>
          <cell r="D81">
            <v>32528</v>
          </cell>
          <cell r="E81">
            <v>75224</v>
          </cell>
          <cell r="F81">
            <v>87364</v>
          </cell>
          <cell r="G81">
            <v>134166</v>
          </cell>
          <cell r="H81">
            <v>120890</v>
          </cell>
          <cell r="I81">
            <v>108965</v>
          </cell>
          <cell r="J81">
            <v>127888</v>
          </cell>
          <cell r="K81">
            <v>101630</v>
          </cell>
          <cell r="L81">
            <v>97663</v>
          </cell>
          <cell r="M81">
            <v>87554</v>
          </cell>
          <cell r="N81">
            <v>105635</v>
          </cell>
          <cell r="O81">
            <v>63769</v>
          </cell>
          <cell r="P81">
            <v>65601</v>
          </cell>
          <cell r="Q81">
            <v>57004</v>
          </cell>
          <cell r="R81">
            <v>63940</v>
          </cell>
          <cell r="S81">
            <v>45224</v>
          </cell>
          <cell r="T81">
            <v>54369</v>
          </cell>
          <cell r="U81">
            <v>49567</v>
          </cell>
          <cell r="V81">
            <v>38625</v>
          </cell>
          <cell r="W81">
            <v>32287</v>
          </cell>
          <cell r="X81">
            <v>45233</v>
          </cell>
          <cell r="Y81">
            <v>73430</v>
          </cell>
          <cell r="Z81">
            <v>35671</v>
          </cell>
          <cell r="AA81">
            <v>53614</v>
          </cell>
          <cell r="AB81">
            <v>43879</v>
          </cell>
          <cell r="AC81">
            <v>35045</v>
          </cell>
          <cell r="AD81">
            <v>37704</v>
          </cell>
          <cell r="AE81">
            <v>33157</v>
          </cell>
          <cell r="AF81">
            <v>12435</v>
          </cell>
          <cell r="AG81">
            <v>9943</v>
          </cell>
          <cell r="AH81">
            <v>21882</v>
          </cell>
          <cell r="AI81">
            <v>23416</v>
          </cell>
          <cell r="AJ81">
            <v>30571</v>
          </cell>
          <cell r="AK81">
            <v>8491</v>
          </cell>
          <cell r="AL81">
            <v>4156</v>
          </cell>
          <cell r="AM81">
            <v>9059</v>
          </cell>
          <cell r="AN81">
            <v>6005</v>
          </cell>
          <cell r="AO81">
            <v>5955</v>
          </cell>
          <cell r="AQ81">
            <v>5508</v>
          </cell>
          <cell r="DN81">
            <v>2077240</v>
          </cell>
          <cell r="DO81">
            <v>81</v>
          </cell>
        </row>
        <row r="82">
          <cell r="A82" t="str">
            <v>Coeur d'Alene, ID Metro Area</v>
          </cell>
          <cell r="B82">
            <v>8566</v>
          </cell>
          <cell r="C82">
            <v>3947</v>
          </cell>
          <cell r="D82">
            <v>15394</v>
          </cell>
          <cell r="E82">
            <v>4208</v>
          </cell>
          <cell r="F82">
            <v>21579</v>
          </cell>
          <cell r="G82">
            <v>18513</v>
          </cell>
          <cell r="H82">
            <v>9924</v>
          </cell>
          <cell r="I82">
            <v>11586</v>
          </cell>
          <cell r="K82">
            <v>7394</v>
          </cell>
          <cell r="L82">
            <v>12249</v>
          </cell>
          <cell r="M82">
            <v>7937</v>
          </cell>
          <cell r="P82">
            <v>8703</v>
          </cell>
          <cell r="R82">
            <v>2224</v>
          </cell>
          <cell r="T82">
            <v>6270</v>
          </cell>
          <cell r="DN82">
            <v>138494</v>
          </cell>
          <cell r="DO82">
            <v>82</v>
          </cell>
        </row>
        <row r="83">
          <cell r="A83" t="str">
            <v>College Station-Bryan, TX Metro Area</v>
          </cell>
          <cell r="B83">
            <v>18695</v>
          </cell>
          <cell r="C83">
            <v>42833</v>
          </cell>
          <cell r="D83">
            <v>42615</v>
          </cell>
          <cell r="E83">
            <v>8197</v>
          </cell>
          <cell r="F83">
            <v>31897</v>
          </cell>
          <cell r="G83">
            <v>11426</v>
          </cell>
          <cell r="H83">
            <v>17733</v>
          </cell>
          <cell r="I83">
            <v>14077</v>
          </cell>
          <cell r="K83">
            <v>5541</v>
          </cell>
          <cell r="P83">
            <v>3250</v>
          </cell>
          <cell r="S83">
            <v>1837</v>
          </cell>
          <cell r="T83">
            <v>4356</v>
          </cell>
          <cell r="Y83">
            <v>13854</v>
          </cell>
          <cell r="AC83">
            <v>4324</v>
          </cell>
          <cell r="AG83">
            <v>4520</v>
          </cell>
          <cell r="AH83">
            <v>1480</v>
          </cell>
          <cell r="AQ83">
            <v>2025</v>
          </cell>
          <cell r="DN83">
            <v>228660</v>
          </cell>
          <cell r="DO83">
            <v>83</v>
          </cell>
        </row>
        <row r="84">
          <cell r="A84" t="str">
            <v>Colorado Springs, CO Metro Area</v>
          </cell>
          <cell r="B84">
            <v>11927</v>
          </cell>
          <cell r="C84">
            <v>23920</v>
          </cell>
          <cell r="D84">
            <v>51275</v>
          </cell>
          <cell r="E84">
            <v>66880</v>
          </cell>
          <cell r="F84">
            <v>72864</v>
          </cell>
          <cell r="G84">
            <v>50568</v>
          </cell>
          <cell r="H84">
            <v>65574</v>
          </cell>
          <cell r="I84">
            <v>66622</v>
          </cell>
          <cell r="J84">
            <v>46476</v>
          </cell>
          <cell r="K84">
            <v>27274</v>
          </cell>
          <cell r="L84">
            <v>18954</v>
          </cell>
          <cell r="M84">
            <v>15529</v>
          </cell>
          <cell r="N84">
            <v>11045</v>
          </cell>
          <cell r="O84">
            <v>16639</v>
          </cell>
          <cell r="P84">
            <v>16214</v>
          </cell>
          <cell r="Q84">
            <v>11201</v>
          </cell>
          <cell r="R84">
            <v>20635</v>
          </cell>
          <cell r="S84">
            <v>7468</v>
          </cell>
          <cell r="T84">
            <v>11662</v>
          </cell>
          <cell r="U84">
            <v>8700</v>
          </cell>
          <cell r="W84">
            <v>7317</v>
          </cell>
          <cell r="X84">
            <v>6045</v>
          </cell>
          <cell r="AC84">
            <v>6535</v>
          </cell>
          <cell r="AE84">
            <v>4289</v>
          </cell>
          <cell r="DN84">
            <v>645613</v>
          </cell>
          <cell r="DO84">
            <v>84</v>
          </cell>
        </row>
        <row r="85">
          <cell r="A85" t="str">
            <v>Columbia, MO Metro Area</v>
          </cell>
          <cell r="B85">
            <v>18918</v>
          </cell>
          <cell r="C85">
            <v>12800</v>
          </cell>
          <cell r="D85">
            <v>45537</v>
          </cell>
          <cell r="E85">
            <v>17529</v>
          </cell>
          <cell r="F85">
            <v>31724</v>
          </cell>
          <cell r="H85">
            <v>7494</v>
          </cell>
          <cell r="I85">
            <v>4306</v>
          </cell>
          <cell r="N85">
            <v>12519</v>
          </cell>
          <cell r="O85">
            <v>6909</v>
          </cell>
          <cell r="V85">
            <v>4906</v>
          </cell>
          <cell r="W85">
            <v>3476</v>
          </cell>
          <cell r="Y85">
            <v>3718</v>
          </cell>
          <cell r="AD85">
            <v>2950</v>
          </cell>
          <cell r="DN85">
            <v>172786</v>
          </cell>
          <cell r="DO85">
            <v>85</v>
          </cell>
        </row>
        <row r="86">
          <cell r="A86" t="str">
            <v>Columbia, SC Metro Area</v>
          </cell>
          <cell r="B86">
            <v>7417</v>
          </cell>
          <cell r="C86">
            <v>32217</v>
          </cell>
          <cell r="D86">
            <v>41452</v>
          </cell>
          <cell r="E86">
            <v>43307</v>
          </cell>
          <cell r="F86">
            <v>34906</v>
          </cell>
          <cell r="G86">
            <v>57984</v>
          </cell>
          <cell r="H86">
            <v>37948</v>
          </cell>
          <cell r="I86">
            <v>24034</v>
          </cell>
          <cell r="J86">
            <v>28345</v>
          </cell>
          <cell r="K86">
            <v>48551</v>
          </cell>
          <cell r="L86">
            <v>32893</v>
          </cell>
          <cell r="M86">
            <v>49192</v>
          </cell>
          <cell r="N86">
            <v>45016</v>
          </cell>
          <cell r="O86">
            <v>21768</v>
          </cell>
          <cell r="P86">
            <v>26909</v>
          </cell>
          <cell r="Q86">
            <v>41070</v>
          </cell>
          <cell r="R86">
            <v>5328</v>
          </cell>
          <cell r="S86">
            <v>12825</v>
          </cell>
          <cell r="T86">
            <v>6482</v>
          </cell>
          <cell r="U86">
            <v>20970</v>
          </cell>
          <cell r="V86">
            <v>20245</v>
          </cell>
          <cell r="W86">
            <v>14899</v>
          </cell>
          <cell r="X86">
            <v>11575</v>
          </cell>
          <cell r="Y86">
            <v>9006</v>
          </cell>
          <cell r="Z86">
            <v>4582</v>
          </cell>
          <cell r="AA86">
            <v>11206</v>
          </cell>
          <cell r="AB86">
            <v>9231</v>
          </cell>
          <cell r="AD86">
            <v>2118</v>
          </cell>
          <cell r="AE86">
            <v>10173</v>
          </cell>
          <cell r="AF86">
            <v>10531</v>
          </cell>
          <cell r="AG86">
            <v>2209</v>
          </cell>
          <cell r="AH86">
            <v>4043</v>
          </cell>
          <cell r="AI86">
            <v>8496</v>
          </cell>
          <cell r="AK86">
            <v>2266</v>
          </cell>
          <cell r="AL86">
            <v>3440</v>
          </cell>
          <cell r="AM86">
            <v>7798</v>
          </cell>
          <cell r="AO86">
            <v>2817</v>
          </cell>
          <cell r="AQ86">
            <v>4238</v>
          </cell>
          <cell r="AT86">
            <v>4807</v>
          </cell>
          <cell r="AV86">
            <v>2498</v>
          </cell>
          <cell r="AW86">
            <v>2806</v>
          </cell>
          <cell r="DN86">
            <v>767598</v>
          </cell>
          <cell r="DO86">
            <v>86</v>
          </cell>
        </row>
        <row r="87">
          <cell r="A87" t="str">
            <v>Columbus, GA-AL Metro Area</v>
          </cell>
          <cell r="B87">
            <v>4618</v>
          </cell>
          <cell r="C87">
            <v>27010</v>
          </cell>
          <cell r="D87">
            <v>29401</v>
          </cell>
          <cell r="E87">
            <v>30440</v>
          </cell>
          <cell r="F87">
            <v>21258</v>
          </cell>
          <cell r="G87">
            <v>50250</v>
          </cell>
          <cell r="H87">
            <v>21551</v>
          </cell>
          <cell r="I87">
            <v>28140</v>
          </cell>
          <cell r="J87">
            <v>14465</v>
          </cell>
          <cell r="L87">
            <v>6946</v>
          </cell>
          <cell r="M87">
            <v>7265</v>
          </cell>
          <cell r="N87">
            <v>3727</v>
          </cell>
          <cell r="O87">
            <v>6325</v>
          </cell>
          <cell r="P87">
            <v>9234</v>
          </cell>
          <cell r="R87">
            <v>4194</v>
          </cell>
          <cell r="S87">
            <v>10924</v>
          </cell>
          <cell r="AA87">
            <v>5167</v>
          </cell>
          <cell r="AB87">
            <v>5208</v>
          </cell>
          <cell r="AC87">
            <v>4523</v>
          </cell>
          <cell r="AE87">
            <v>4219</v>
          </cell>
          <cell r="DN87">
            <v>294865</v>
          </cell>
          <cell r="DO87">
            <v>87</v>
          </cell>
        </row>
        <row r="88">
          <cell r="A88" t="str">
            <v>Columbus, IN Metro Area</v>
          </cell>
          <cell r="B88">
            <v>4553</v>
          </cell>
          <cell r="C88">
            <v>11851</v>
          </cell>
          <cell r="E88">
            <v>24744</v>
          </cell>
          <cell r="F88">
            <v>5033</v>
          </cell>
          <cell r="G88">
            <v>11772</v>
          </cell>
          <cell r="H88">
            <v>8436</v>
          </cell>
          <cell r="I88">
            <v>4970</v>
          </cell>
          <cell r="L88">
            <v>5435</v>
          </cell>
          <cell r="DN88">
            <v>76794</v>
          </cell>
          <cell r="DO88">
            <v>88</v>
          </cell>
        </row>
        <row r="89">
          <cell r="A89" t="str">
            <v>Columbus, OH Metro Area</v>
          </cell>
          <cell r="B89">
            <v>7416</v>
          </cell>
          <cell r="C89">
            <v>42251</v>
          </cell>
          <cell r="D89">
            <v>85159</v>
          </cell>
          <cell r="E89">
            <v>86640</v>
          </cell>
          <cell r="F89">
            <v>93091</v>
          </cell>
          <cell r="G89">
            <v>90085</v>
          </cell>
          <cell r="H89">
            <v>107681</v>
          </cell>
          <cell r="I89">
            <v>124355</v>
          </cell>
          <cell r="J89">
            <v>158988</v>
          </cell>
          <cell r="K89">
            <v>92262</v>
          </cell>
          <cell r="L89">
            <v>106029</v>
          </cell>
          <cell r="M89">
            <v>110143</v>
          </cell>
          <cell r="N89">
            <v>73951</v>
          </cell>
          <cell r="O89">
            <v>67844</v>
          </cell>
          <cell r="P89">
            <v>62177</v>
          </cell>
          <cell r="Q89">
            <v>26217</v>
          </cell>
          <cell r="R89">
            <v>33012</v>
          </cell>
          <cell r="S89">
            <v>14328</v>
          </cell>
          <cell r="T89">
            <v>28424</v>
          </cell>
          <cell r="U89">
            <v>9747</v>
          </cell>
          <cell r="V89">
            <v>12267</v>
          </cell>
          <cell r="W89">
            <v>34115</v>
          </cell>
          <cell r="X89">
            <v>13961</v>
          </cell>
          <cell r="Y89">
            <v>37148</v>
          </cell>
          <cell r="Z89">
            <v>18725</v>
          </cell>
          <cell r="AA89">
            <v>39775</v>
          </cell>
          <cell r="AB89">
            <v>38070</v>
          </cell>
          <cell r="AC89">
            <v>36354</v>
          </cell>
          <cell r="AD89">
            <v>25024</v>
          </cell>
          <cell r="AE89">
            <v>24571</v>
          </cell>
          <cell r="AF89">
            <v>2039</v>
          </cell>
          <cell r="AG89">
            <v>38490</v>
          </cell>
          <cell r="AH89">
            <v>18778</v>
          </cell>
          <cell r="AI89">
            <v>17606</v>
          </cell>
          <cell r="AJ89">
            <v>15559</v>
          </cell>
          <cell r="AL89">
            <v>6321</v>
          </cell>
          <cell r="AN89">
            <v>10002</v>
          </cell>
          <cell r="AO89">
            <v>5959</v>
          </cell>
          <cell r="AP89">
            <v>5948</v>
          </cell>
          <cell r="AR89">
            <v>7089</v>
          </cell>
          <cell r="AV89">
            <v>4643</v>
          </cell>
          <cell r="AZ89">
            <v>4292</v>
          </cell>
          <cell r="DN89">
            <v>1836536</v>
          </cell>
          <cell r="DO89">
            <v>89</v>
          </cell>
        </row>
        <row r="90">
          <cell r="A90" t="str">
            <v>Corpus Christi, TX Metro Area</v>
          </cell>
          <cell r="B90">
            <v>5350</v>
          </cell>
          <cell r="C90">
            <v>25202</v>
          </cell>
          <cell r="D90">
            <v>22370</v>
          </cell>
          <cell r="E90">
            <v>39741</v>
          </cell>
          <cell r="F90">
            <v>19456</v>
          </cell>
          <cell r="G90">
            <v>35141</v>
          </cell>
          <cell r="H90">
            <v>19903</v>
          </cell>
          <cell r="I90">
            <v>39723</v>
          </cell>
          <cell r="J90">
            <v>39983</v>
          </cell>
          <cell r="K90">
            <v>15660</v>
          </cell>
          <cell r="L90">
            <v>15284</v>
          </cell>
          <cell r="M90">
            <v>20520</v>
          </cell>
          <cell r="N90">
            <v>15592</v>
          </cell>
          <cell r="O90">
            <v>9955</v>
          </cell>
          <cell r="P90">
            <v>3375</v>
          </cell>
          <cell r="Q90">
            <v>2717</v>
          </cell>
          <cell r="R90">
            <v>36754</v>
          </cell>
          <cell r="S90">
            <v>6812</v>
          </cell>
          <cell r="T90">
            <v>4580</v>
          </cell>
          <cell r="V90">
            <v>6027</v>
          </cell>
          <cell r="W90">
            <v>6308</v>
          </cell>
          <cell r="X90">
            <v>9319</v>
          </cell>
          <cell r="AA90">
            <v>3583</v>
          </cell>
          <cell r="AB90">
            <v>6609</v>
          </cell>
          <cell r="AD90">
            <v>4555</v>
          </cell>
          <cell r="AE90">
            <v>5495</v>
          </cell>
          <cell r="AH90">
            <v>3060</v>
          </cell>
          <cell r="AI90">
            <v>5111</v>
          </cell>
          <cell r="DN90">
            <v>428185</v>
          </cell>
          <cell r="DO90">
            <v>90</v>
          </cell>
        </row>
        <row r="91">
          <cell r="A91" t="str">
            <v>Corvallis, OR Metro Area</v>
          </cell>
          <cell r="B91">
            <v>17333</v>
          </cell>
          <cell r="C91">
            <v>14090</v>
          </cell>
          <cell r="D91">
            <v>23337</v>
          </cell>
          <cell r="E91">
            <v>4603</v>
          </cell>
          <cell r="F91">
            <v>3141</v>
          </cell>
          <cell r="G91">
            <v>3455</v>
          </cell>
          <cell r="H91">
            <v>4090</v>
          </cell>
          <cell r="K91">
            <v>8519</v>
          </cell>
          <cell r="N91">
            <v>3203</v>
          </cell>
          <cell r="P91">
            <v>3808</v>
          </cell>
          <cell r="DN91">
            <v>85579</v>
          </cell>
          <cell r="DO91">
            <v>91</v>
          </cell>
        </row>
        <row r="92">
          <cell r="A92" t="str">
            <v>Crestview-Fort Walton Beach-Destin, FL Metro Area</v>
          </cell>
          <cell r="C92">
            <v>13568</v>
          </cell>
          <cell r="D92">
            <v>18745</v>
          </cell>
          <cell r="F92">
            <v>6169</v>
          </cell>
          <cell r="G92">
            <v>5876</v>
          </cell>
          <cell r="I92">
            <v>7688</v>
          </cell>
          <cell r="O92">
            <v>1921</v>
          </cell>
          <cell r="S92">
            <v>14870</v>
          </cell>
          <cell r="T92">
            <v>7586</v>
          </cell>
          <cell r="V92">
            <v>15633</v>
          </cell>
          <cell r="W92">
            <v>25506</v>
          </cell>
          <cell r="X92">
            <v>18606</v>
          </cell>
          <cell r="Y92">
            <v>9701</v>
          </cell>
          <cell r="Z92">
            <v>13362</v>
          </cell>
          <cell r="AA92">
            <v>7682</v>
          </cell>
          <cell r="AB92">
            <v>11029</v>
          </cell>
          <cell r="AC92">
            <v>2880</v>
          </cell>
          <cell r="DN92">
            <v>180822</v>
          </cell>
          <cell r="DO92">
            <v>92</v>
          </cell>
        </row>
        <row r="93">
          <cell r="A93" t="str">
            <v>Cumberland, MD-WV Metro Area</v>
          </cell>
          <cell r="B93">
            <v>6774</v>
          </cell>
          <cell r="C93">
            <v>17433</v>
          </cell>
          <cell r="D93">
            <v>4369</v>
          </cell>
          <cell r="E93">
            <v>15997</v>
          </cell>
          <cell r="H93">
            <v>1968</v>
          </cell>
          <cell r="I93">
            <v>10370</v>
          </cell>
          <cell r="J93">
            <v>10271</v>
          </cell>
          <cell r="K93">
            <v>8034</v>
          </cell>
          <cell r="N93">
            <v>3718</v>
          </cell>
          <cell r="O93">
            <v>3466</v>
          </cell>
          <cell r="T93">
            <v>3874</v>
          </cell>
          <cell r="U93">
            <v>5203</v>
          </cell>
          <cell r="W93">
            <v>9626</v>
          </cell>
          <cell r="Z93">
            <v>2196</v>
          </cell>
          <cell r="DN93">
            <v>103299</v>
          </cell>
          <cell r="DO93">
            <v>93</v>
          </cell>
        </row>
        <row r="94">
          <cell r="A94" t="str">
            <v>Dallas-Fort Worth-Arlington, TX Metro Area</v>
          </cell>
          <cell r="B94">
            <v>9187</v>
          </cell>
          <cell r="C94">
            <v>40708</v>
          </cell>
          <cell r="D94">
            <v>90786</v>
          </cell>
          <cell r="E94">
            <v>80846</v>
          </cell>
          <cell r="F94">
            <v>111896</v>
          </cell>
          <cell r="G94">
            <v>123679</v>
          </cell>
          <cell r="H94">
            <v>125679</v>
          </cell>
          <cell r="I94">
            <v>170253</v>
          </cell>
          <cell r="J94">
            <v>157325</v>
          </cell>
          <cell r="K94">
            <v>182412</v>
          </cell>
          <cell r="L94">
            <v>172404</v>
          </cell>
          <cell r="M94">
            <v>263479</v>
          </cell>
          <cell r="N94">
            <v>243034</v>
          </cell>
          <cell r="O94">
            <v>205887</v>
          </cell>
          <cell r="P94">
            <v>188724</v>
          </cell>
          <cell r="Q94">
            <v>186500</v>
          </cell>
          <cell r="R94">
            <v>195929</v>
          </cell>
          <cell r="S94">
            <v>182121</v>
          </cell>
          <cell r="T94">
            <v>241292</v>
          </cell>
          <cell r="U94">
            <v>167401</v>
          </cell>
          <cell r="V94">
            <v>193521</v>
          </cell>
          <cell r="W94">
            <v>240016</v>
          </cell>
          <cell r="X94">
            <v>211978</v>
          </cell>
          <cell r="Y94">
            <v>156591</v>
          </cell>
          <cell r="Z94">
            <v>172760</v>
          </cell>
          <cell r="AA94">
            <v>157589</v>
          </cell>
          <cell r="AB94">
            <v>112331</v>
          </cell>
          <cell r="AC94">
            <v>175455</v>
          </cell>
          <cell r="AD94">
            <v>170430</v>
          </cell>
          <cell r="AE94">
            <v>151872</v>
          </cell>
          <cell r="AF94">
            <v>132752</v>
          </cell>
          <cell r="AG94">
            <v>147500</v>
          </cell>
          <cell r="AH94">
            <v>122685</v>
          </cell>
          <cell r="AI94">
            <v>107301</v>
          </cell>
          <cell r="AJ94">
            <v>127133</v>
          </cell>
          <cell r="AK94">
            <v>101747</v>
          </cell>
          <cell r="AL94">
            <v>146386</v>
          </cell>
          <cell r="AM94">
            <v>61561</v>
          </cell>
          <cell r="AN94">
            <v>64689</v>
          </cell>
          <cell r="AO94">
            <v>42599</v>
          </cell>
          <cell r="AP94">
            <v>47776</v>
          </cell>
          <cell r="AQ94">
            <v>23229</v>
          </cell>
          <cell r="AR94">
            <v>37423</v>
          </cell>
          <cell r="AS94">
            <v>33886</v>
          </cell>
          <cell r="AT94">
            <v>29755</v>
          </cell>
          <cell r="AU94">
            <v>9251</v>
          </cell>
          <cell r="AV94">
            <v>45943</v>
          </cell>
          <cell r="AW94">
            <v>18467</v>
          </cell>
          <cell r="AX94">
            <v>17282</v>
          </cell>
          <cell r="AY94">
            <v>19807</v>
          </cell>
          <cell r="AZ94">
            <v>7962</v>
          </cell>
          <cell r="BA94">
            <v>2077</v>
          </cell>
          <cell r="BB94">
            <v>26376</v>
          </cell>
          <cell r="BC94">
            <v>5666</v>
          </cell>
          <cell r="BD94">
            <v>3814</v>
          </cell>
          <cell r="BE94">
            <v>6225</v>
          </cell>
          <cell r="BF94">
            <v>10986</v>
          </cell>
          <cell r="BG94">
            <v>11094</v>
          </cell>
          <cell r="BH94">
            <v>6109</v>
          </cell>
          <cell r="BI94">
            <v>5642</v>
          </cell>
          <cell r="BJ94">
            <v>13555</v>
          </cell>
          <cell r="BK94">
            <v>13540</v>
          </cell>
          <cell r="BM94">
            <v>11464</v>
          </cell>
          <cell r="BP94">
            <v>10075</v>
          </cell>
          <cell r="BR94">
            <v>12700</v>
          </cell>
          <cell r="BY94">
            <v>2973</v>
          </cell>
          <cell r="BZ94">
            <v>2258</v>
          </cell>
          <cell r="DN94">
            <v>6371773</v>
          </cell>
          <cell r="DO94">
            <v>94</v>
          </cell>
        </row>
        <row r="95">
          <cell r="A95" t="str">
            <v>Dalton, GA Metro Area</v>
          </cell>
          <cell r="B95">
            <v>10541</v>
          </cell>
          <cell r="C95">
            <v>16854</v>
          </cell>
          <cell r="D95">
            <v>6109</v>
          </cell>
          <cell r="E95">
            <v>18776</v>
          </cell>
          <cell r="F95">
            <v>18168</v>
          </cell>
          <cell r="G95">
            <v>8230</v>
          </cell>
          <cell r="H95">
            <v>11413</v>
          </cell>
          <cell r="I95">
            <v>5087</v>
          </cell>
          <cell r="K95">
            <v>8441</v>
          </cell>
          <cell r="L95">
            <v>20911</v>
          </cell>
          <cell r="M95">
            <v>8415</v>
          </cell>
          <cell r="O95">
            <v>3852</v>
          </cell>
          <cell r="P95">
            <v>1843</v>
          </cell>
          <cell r="R95">
            <v>3587</v>
          </cell>
          <cell r="DN95">
            <v>142227</v>
          </cell>
          <cell r="DO95">
            <v>95</v>
          </cell>
        </row>
        <row r="96">
          <cell r="A96" t="str">
            <v>Danville, IL Metro Area</v>
          </cell>
          <cell r="B96">
            <v>3423</v>
          </cell>
          <cell r="C96">
            <v>10162</v>
          </cell>
          <cell r="D96">
            <v>24604</v>
          </cell>
          <cell r="E96">
            <v>6685</v>
          </cell>
          <cell r="G96">
            <v>7294</v>
          </cell>
          <cell r="I96">
            <v>2281</v>
          </cell>
          <cell r="J96">
            <v>3532</v>
          </cell>
          <cell r="L96">
            <v>8988</v>
          </cell>
          <cell r="N96">
            <v>2712</v>
          </cell>
          <cell r="P96">
            <v>3193</v>
          </cell>
          <cell r="V96">
            <v>3306</v>
          </cell>
          <cell r="Y96">
            <v>5445</v>
          </cell>
          <cell r="DN96">
            <v>81625</v>
          </cell>
          <cell r="DO96">
            <v>96</v>
          </cell>
        </row>
        <row r="97">
          <cell r="A97" t="str">
            <v>Danville, VA Metro Area</v>
          </cell>
          <cell r="B97">
            <v>3986</v>
          </cell>
          <cell r="C97">
            <v>16906</v>
          </cell>
          <cell r="D97">
            <v>15160</v>
          </cell>
          <cell r="F97">
            <v>19486</v>
          </cell>
          <cell r="I97">
            <v>6369</v>
          </cell>
          <cell r="J97">
            <v>7171</v>
          </cell>
          <cell r="M97">
            <v>7523</v>
          </cell>
          <cell r="N97">
            <v>2929</v>
          </cell>
          <cell r="R97">
            <v>5115</v>
          </cell>
          <cell r="S97">
            <v>4054</v>
          </cell>
          <cell r="U97">
            <v>1833</v>
          </cell>
          <cell r="Y97">
            <v>3034</v>
          </cell>
          <cell r="AD97">
            <v>4193</v>
          </cell>
          <cell r="AE97">
            <v>4315</v>
          </cell>
          <cell r="AJ97">
            <v>4487</v>
          </cell>
          <cell r="DN97">
            <v>106561</v>
          </cell>
          <cell r="DO97">
            <v>97</v>
          </cell>
        </row>
        <row r="98">
          <cell r="A98" t="str">
            <v>Davenport-Moline-Rock Island, IA-IL Metro Area</v>
          </cell>
          <cell r="B98">
            <v>8595</v>
          </cell>
          <cell r="C98">
            <v>39013</v>
          </cell>
          <cell r="D98">
            <v>42841</v>
          </cell>
          <cell r="E98">
            <v>57104</v>
          </cell>
          <cell r="F98">
            <v>30962</v>
          </cell>
          <cell r="G98">
            <v>28531</v>
          </cell>
          <cell r="H98">
            <v>19144</v>
          </cell>
          <cell r="I98">
            <v>20773</v>
          </cell>
          <cell r="J98">
            <v>26106</v>
          </cell>
          <cell r="K98">
            <v>9240</v>
          </cell>
          <cell r="L98">
            <v>7141</v>
          </cell>
          <cell r="M98">
            <v>5860</v>
          </cell>
          <cell r="N98">
            <v>5929</v>
          </cell>
          <cell r="O98">
            <v>3701</v>
          </cell>
          <cell r="P98">
            <v>8542</v>
          </cell>
          <cell r="Q98">
            <v>9713</v>
          </cell>
          <cell r="R98">
            <v>4579</v>
          </cell>
          <cell r="S98">
            <v>4311</v>
          </cell>
          <cell r="X98">
            <v>7146</v>
          </cell>
          <cell r="Y98">
            <v>3987</v>
          </cell>
          <cell r="Z98">
            <v>8101</v>
          </cell>
          <cell r="AB98">
            <v>3014</v>
          </cell>
          <cell r="AE98">
            <v>6346</v>
          </cell>
          <cell r="AH98">
            <v>2405</v>
          </cell>
          <cell r="AM98">
            <v>2727</v>
          </cell>
          <cell r="AN98">
            <v>6557</v>
          </cell>
          <cell r="AO98">
            <v>7322</v>
          </cell>
          <cell r="DN98">
            <v>379690</v>
          </cell>
          <cell r="DO98">
            <v>98</v>
          </cell>
        </row>
        <row r="99">
          <cell r="A99" t="str">
            <v>Dayton, OH Metro Area</v>
          </cell>
          <cell r="B99">
            <v>9182</v>
          </cell>
          <cell r="C99">
            <v>31871</v>
          </cell>
          <cell r="D99">
            <v>60764</v>
          </cell>
          <cell r="E99">
            <v>50972</v>
          </cell>
          <cell r="F99">
            <v>61825</v>
          </cell>
          <cell r="G99">
            <v>47455</v>
          </cell>
          <cell r="H99">
            <v>87282</v>
          </cell>
          <cell r="I99">
            <v>56003</v>
          </cell>
          <cell r="J99">
            <v>54947</v>
          </cell>
          <cell r="K99">
            <v>78022</v>
          </cell>
          <cell r="L99">
            <v>47855</v>
          </cell>
          <cell r="M99">
            <v>44426</v>
          </cell>
          <cell r="N99">
            <v>6523</v>
          </cell>
          <cell r="O99">
            <v>34905</v>
          </cell>
          <cell r="P99">
            <v>13652</v>
          </cell>
          <cell r="Q99">
            <v>14718</v>
          </cell>
          <cell r="R99">
            <v>11201</v>
          </cell>
          <cell r="S99">
            <v>7292</v>
          </cell>
          <cell r="T99">
            <v>10557</v>
          </cell>
          <cell r="U99">
            <v>10033</v>
          </cell>
          <cell r="V99">
            <v>18138</v>
          </cell>
          <cell r="W99">
            <v>13143</v>
          </cell>
          <cell r="X99">
            <v>7487</v>
          </cell>
          <cell r="Y99">
            <v>10231</v>
          </cell>
          <cell r="Z99">
            <v>2391</v>
          </cell>
          <cell r="AA99">
            <v>10335</v>
          </cell>
          <cell r="AB99">
            <v>16020</v>
          </cell>
          <cell r="AC99">
            <v>14443</v>
          </cell>
          <cell r="AD99">
            <v>3594</v>
          </cell>
          <cell r="AF99">
            <v>2926</v>
          </cell>
          <cell r="AG99">
            <v>3309</v>
          </cell>
          <cell r="DN99">
            <v>841502</v>
          </cell>
          <cell r="DO99">
            <v>99</v>
          </cell>
        </row>
        <row r="100">
          <cell r="A100" t="str">
            <v>Decatur, AL Metro Area</v>
          </cell>
          <cell r="B100">
            <v>3929</v>
          </cell>
          <cell r="C100">
            <v>15198</v>
          </cell>
          <cell r="D100">
            <v>15116</v>
          </cell>
          <cell r="E100">
            <v>14748</v>
          </cell>
          <cell r="F100">
            <v>5036</v>
          </cell>
          <cell r="G100">
            <v>6367</v>
          </cell>
          <cell r="H100">
            <v>875</v>
          </cell>
          <cell r="J100">
            <v>5161</v>
          </cell>
          <cell r="K100">
            <v>7940</v>
          </cell>
          <cell r="L100">
            <v>5481</v>
          </cell>
          <cell r="M100">
            <v>15650</v>
          </cell>
          <cell r="N100">
            <v>11625</v>
          </cell>
          <cell r="P100">
            <v>5208</v>
          </cell>
          <cell r="R100">
            <v>2124</v>
          </cell>
          <cell r="S100">
            <v>5687</v>
          </cell>
          <cell r="T100">
            <v>4514</v>
          </cell>
          <cell r="W100">
            <v>9645</v>
          </cell>
          <cell r="X100">
            <v>4655</v>
          </cell>
          <cell r="Y100">
            <v>12928</v>
          </cell>
          <cell r="AD100">
            <v>1942</v>
          </cell>
          <cell r="DN100">
            <v>153829</v>
          </cell>
          <cell r="DO100">
            <v>100</v>
          </cell>
        </row>
        <row r="101">
          <cell r="A101" t="str">
            <v>Decatur, IL Metro Area</v>
          </cell>
          <cell r="B101">
            <v>14944</v>
          </cell>
          <cell r="C101">
            <v>19151</v>
          </cell>
          <cell r="D101">
            <v>27661</v>
          </cell>
          <cell r="E101">
            <v>17016</v>
          </cell>
          <cell r="G101">
            <v>6960</v>
          </cell>
          <cell r="H101">
            <v>12684</v>
          </cell>
          <cell r="I101">
            <v>4446</v>
          </cell>
          <cell r="J101">
            <v>1985</v>
          </cell>
          <cell r="L101">
            <v>2371</v>
          </cell>
          <cell r="N101">
            <v>3550</v>
          </cell>
          <cell r="DN101">
            <v>110768</v>
          </cell>
          <cell r="DO101">
            <v>101</v>
          </cell>
        </row>
        <row r="102">
          <cell r="A102" t="str">
            <v>Deltona-Daytona Beach-Ormond Beach, FL Metro Area</v>
          </cell>
          <cell r="C102">
            <v>23458</v>
          </cell>
          <cell r="D102">
            <v>23893</v>
          </cell>
          <cell r="E102">
            <v>46983</v>
          </cell>
          <cell r="F102">
            <v>12958</v>
          </cell>
          <cell r="G102">
            <v>21075</v>
          </cell>
          <cell r="H102">
            <v>10536</v>
          </cell>
          <cell r="I102">
            <v>15865</v>
          </cell>
          <cell r="J102">
            <v>17750</v>
          </cell>
          <cell r="K102">
            <v>4922</v>
          </cell>
          <cell r="L102">
            <v>7711</v>
          </cell>
          <cell r="M102">
            <v>12901</v>
          </cell>
          <cell r="P102">
            <v>4769</v>
          </cell>
          <cell r="Q102">
            <v>18010</v>
          </cell>
          <cell r="R102">
            <v>4069</v>
          </cell>
          <cell r="S102">
            <v>20726</v>
          </cell>
          <cell r="T102">
            <v>32123</v>
          </cell>
          <cell r="U102">
            <v>35819</v>
          </cell>
          <cell r="V102">
            <v>34311</v>
          </cell>
          <cell r="W102">
            <v>22488</v>
          </cell>
          <cell r="X102">
            <v>31375</v>
          </cell>
          <cell r="Y102">
            <v>23819</v>
          </cell>
          <cell r="Z102">
            <v>20096</v>
          </cell>
          <cell r="AA102">
            <v>9496</v>
          </cell>
          <cell r="AB102">
            <v>14195</v>
          </cell>
          <cell r="AC102">
            <v>7879</v>
          </cell>
          <cell r="AE102">
            <v>12063</v>
          </cell>
          <cell r="AF102">
            <v>2748</v>
          </cell>
          <cell r="AH102">
            <v>2555</v>
          </cell>
          <cell r="DN102">
            <v>494593</v>
          </cell>
          <cell r="DO102">
            <v>102</v>
          </cell>
        </row>
        <row r="103">
          <cell r="A103" t="str">
            <v>Denver-Aurora-Broomfield, CO Metro Area</v>
          </cell>
          <cell r="B103">
            <v>31875</v>
          </cell>
          <cell r="C103">
            <v>65717</v>
          </cell>
          <cell r="D103">
            <v>96810</v>
          </cell>
          <cell r="E103">
            <v>114958</v>
          </cell>
          <cell r="F103">
            <v>122908</v>
          </cell>
          <cell r="G103">
            <v>123070</v>
          </cell>
          <cell r="H103">
            <v>167060</v>
          </cell>
          <cell r="I103">
            <v>206666</v>
          </cell>
          <cell r="J103">
            <v>188313</v>
          </cell>
          <cell r="K103">
            <v>188070</v>
          </cell>
          <cell r="L103">
            <v>178739</v>
          </cell>
          <cell r="M103">
            <v>178004</v>
          </cell>
          <cell r="N103">
            <v>157417</v>
          </cell>
          <cell r="O103">
            <v>156381</v>
          </cell>
          <cell r="P103">
            <v>146652</v>
          </cell>
          <cell r="Q103">
            <v>51538</v>
          </cell>
          <cell r="R103">
            <v>33451</v>
          </cell>
          <cell r="S103">
            <v>38428</v>
          </cell>
          <cell r="T103">
            <v>33766</v>
          </cell>
          <cell r="U103">
            <v>61719</v>
          </cell>
          <cell r="V103">
            <v>17438</v>
          </cell>
          <cell r="W103">
            <v>22791</v>
          </cell>
          <cell r="X103">
            <v>15257</v>
          </cell>
          <cell r="Y103">
            <v>7765</v>
          </cell>
          <cell r="Z103">
            <v>17430</v>
          </cell>
          <cell r="AA103">
            <v>21636</v>
          </cell>
          <cell r="AB103">
            <v>14994</v>
          </cell>
          <cell r="AC103">
            <v>22206</v>
          </cell>
          <cell r="AD103">
            <v>4022</v>
          </cell>
          <cell r="AE103">
            <v>3412</v>
          </cell>
          <cell r="AF103">
            <v>5076</v>
          </cell>
          <cell r="AG103">
            <v>5587</v>
          </cell>
          <cell r="AH103">
            <v>4377</v>
          </cell>
          <cell r="AI103">
            <v>11723</v>
          </cell>
          <cell r="AK103">
            <v>3208</v>
          </cell>
          <cell r="AL103">
            <v>6871</v>
          </cell>
          <cell r="AO103">
            <v>5107</v>
          </cell>
          <cell r="AR103">
            <v>2351</v>
          </cell>
          <cell r="AS103">
            <v>1707</v>
          </cell>
          <cell r="BH103">
            <v>2099</v>
          </cell>
          <cell r="BM103">
            <v>2010</v>
          </cell>
          <cell r="BO103">
            <v>2694</v>
          </cell>
          <cell r="BQ103">
            <v>2179</v>
          </cell>
          <cell r="DN103">
            <v>2543482</v>
          </cell>
          <cell r="DO103">
            <v>103</v>
          </cell>
        </row>
        <row r="104">
          <cell r="A104" t="str">
            <v>Des Moines-West Des Moines, IA Metro Area</v>
          </cell>
          <cell r="B104">
            <v>7784</v>
          </cell>
          <cell r="C104">
            <v>25811</v>
          </cell>
          <cell r="D104">
            <v>67591</v>
          </cell>
          <cell r="E104">
            <v>58815</v>
          </cell>
          <cell r="F104">
            <v>42450</v>
          </cell>
          <cell r="G104">
            <v>39131</v>
          </cell>
          <cell r="H104">
            <v>36301</v>
          </cell>
          <cell r="I104">
            <v>30006</v>
          </cell>
          <cell r="J104">
            <v>54310</v>
          </cell>
          <cell r="K104">
            <v>46409</v>
          </cell>
          <cell r="L104">
            <v>39270</v>
          </cell>
          <cell r="M104">
            <v>11544</v>
          </cell>
          <cell r="N104">
            <v>13558</v>
          </cell>
          <cell r="O104">
            <v>3414</v>
          </cell>
          <cell r="P104">
            <v>12547</v>
          </cell>
          <cell r="Q104">
            <v>10004</v>
          </cell>
          <cell r="R104">
            <v>6373</v>
          </cell>
          <cell r="S104">
            <v>4499</v>
          </cell>
          <cell r="T104">
            <v>3933</v>
          </cell>
          <cell r="V104">
            <v>3687</v>
          </cell>
          <cell r="W104">
            <v>14285</v>
          </cell>
          <cell r="Y104">
            <v>4795</v>
          </cell>
          <cell r="AC104">
            <v>5264</v>
          </cell>
          <cell r="AD104">
            <v>2987</v>
          </cell>
          <cell r="AF104">
            <v>13911</v>
          </cell>
          <cell r="AP104">
            <v>8659</v>
          </cell>
          <cell r="AZ104">
            <v>2295</v>
          </cell>
          <cell r="DN104">
            <v>569633</v>
          </cell>
          <cell r="DO104">
            <v>104</v>
          </cell>
        </row>
        <row r="105">
          <cell r="A105" t="str">
            <v>Detroit-Warren-Livonia, MI Metro Area</v>
          </cell>
          <cell r="B105">
            <v>8709</v>
          </cell>
          <cell r="C105">
            <v>24101</v>
          </cell>
          <cell r="D105">
            <v>31236</v>
          </cell>
          <cell r="E105">
            <v>45058</v>
          </cell>
          <cell r="F105">
            <v>89237</v>
          </cell>
          <cell r="G105">
            <v>84645</v>
          </cell>
          <cell r="H105">
            <v>110968</v>
          </cell>
          <cell r="I105">
            <v>148923</v>
          </cell>
          <cell r="J105">
            <v>155489</v>
          </cell>
          <cell r="K105">
            <v>185659</v>
          </cell>
          <cell r="L105">
            <v>169895</v>
          </cell>
          <cell r="M105">
            <v>196980</v>
          </cell>
          <cell r="N105">
            <v>177046</v>
          </cell>
          <cell r="O105">
            <v>189530</v>
          </cell>
          <cell r="P105">
            <v>150937</v>
          </cell>
          <cell r="Q105">
            <v>162068</v>
          </cell>
          <cell r="R105">
            <v>170159</v>
          </cell>
          <cell r="S105">
            <v>132198</v>
          </cell>
          <cell r="T105">
            <v>148874</v>
          </cell>
          <cell r="U105">
            <v>144628</v>
          </cell>
          <cell r="V105">
            <v>137149</v>
          </cell>
          <cell r="W105">
            <v>128320</v>
          </cell>
          <cell r="X105">
            <v>147300</v>
          </cell>
          <cell r="Y105">
            <v>119022</v>
          </cell>
          <cell r="Z105">
            <v>115864</v>
          </cell>
          <cell r="AA105">
            <v>106295</v>
          </cell>
          <cell r="AB105">
            <v>94131</v>
          </cell>
          <cell r="AC105">
            <v>87051</v>
          </cell>
          <cell r="AD105">
            <v>50977</v>
          </cell>
          <cell r="AE105">
            <v>51101</v>
          </cell>
          <cell r="AF105">
            <v>50614</v>
          </cell>
          <cell r="AG105">
            <v>49518</v>
          </cell>
          <cell r="AH105">
            <v>47724</v>
          </cell>
          <cell r="AI105">
            <v>30167</v>
          </cell>
          <cell r="AJ105">
            <v>19660</v>
          </cell>
          <cell r="AK105">
            <v>36426</v>
          </cell>
          <cell r="AL105">
            <v>39206</v>
          </cell>
          <cell r="AM105">
            <v>33835</v>
          </cell>
          <cell r="AN105">
            <v>16156</v>
          </cell>
          <cell r="AO105">
            <v>25338</v>
          </cell>
          <cell r="AP105">
            <v>19881</v>
          </cell>
          <cell r="AQ105">
            <v>25996</v>
          </cell>
          <cell r="AR105">
            <v>24724</v>
          </cell>
          <cell r="AS105">
            <v>21844</v>
          </cell>
          <cell r="AT105">
            <v>23791</v>
          </cell>
          <cell r="AU105">
            <v>23237</v>
          </cell>
          <cell r="AV105">
            <v>12588</v>
          </cell>
          <cell r="AW105">
            <v>15560</v>
          </cell>
          <cell r="AX105">
            <v>26097</v>
          </cell>
          <cell r="AY105">
            <v>25229</v>
          </cell>
          <cell r="AZ105">
            <v>11233</v>
          </cell>
          <cell r="BA105">
            <v>15971</v>
          </cell>
          <cell r="BB105">
            <v>17172</v>
          </cell>
          <cell r="BC105">
            <v>12629</v>
          </cell>
          <cell r="BD105">
            <v>29904</v>
          </cell>
          <cell r="BE105">
            <v>23286</v>
          </cell>
          <cell r="BF105">
            <v>9782</v>
          </cell>
          <cell r="BG105">
            <v>12124</v>
          </cell>
          <cell r="BH105">
            <v>8445</v>
          </cell>
          <cell r="BJ105">
            <v>19641</v>
          </cell>
          <cell r="BN105">
            <v>1821</v>
          </cell>
          <cell r="BP105">
            <v>3101</v>
          </cell>
          <cell r="DN105">
            <v>4296250</v>
          </cell>
          <cell r="DO105">
            <v>105</v>
          </cell>
        </row>
        <row r="106">
          <cell r="A106" t="str">
            <v>Dothan, AL Metro Area</v>
          </cell>
          <cell r="B106">
            <v>5010</v>
          </cell>
          <cell r="C106">
            <v>16842</v>
          </cell>
          <cell r="D106">
            <v>16607</v>
          </cell>
          <cell r="E106">
            <v>7774</v>
          </cell>
          <cell r="F106">
            <v>20732</v>
          </cell>
          <cell r="H106">
            <v>5377</v>
          </cell>
          <cell r="I106">
            <v>7294</v>
          </cell>
          <cell r="J106">
            <v>7572</v>
          </cell>
          <cell r="K106">
            <v>5951</v>
          </cell>
          <cell r="L106">
            <v>14394</v>
          </cell>
          <cell r="P106">
            <v>4288</v>
          </cell>
          <cell r="Q106">
            <v>3244</v>
          </cell>
          <cell r="S106">
            <v>2305</v>
          </cell>
          <cell r="T106">
            <v>1544</v>
          </cell>
          <cell r="W106">
            <v>5907</v>
          </cell>
          <cell r="Z106">
            <v>2962</v>
          </cell>
          <cell r="AB106">
            <v>1910</v>
          </cell>
          <cell r="AE106">
            <v>2323</v>
          </cell>
          <cell r="AH106">
            <v>8505</v>
          </cell>
          <cell r="AQ106">
            <v>5098</v>
          </cell>
          <cell r="DN106">
            <v>145639</v>
          </cell>
          <cell r="DO106">
            <v>106</v>
          </cell>
        </row>
        <row r="107">
          <cell r="A107" t="str">
            <v>Dover, DE Metro Area</v>
          </cell>
          <cell r="B107">
            <v>8277</v>
          </cell>
          <cell r="C107">
            <v>16001</v>
          </cell>
          <cell r="D107">
            <v>16042</v>
          </cell>
          <cell r="E107">
            <v>30571</v>
          </cell>
          <cell r="G107">
            <v>9766</v>
          </cell>
          <cell r="H107">
            <v>3859</v>
          </cell>
          <cell r="I107">
            <v>8857</v>
          </cell>
          <cell r="J107">
            <v>16553</v>
          </cell>
          <cell r="K107">
            <v>10293</v>
          </cell>
          <cell r="L107">
            <v>14755</v>
          </cell>
          <cell r="M107">
            <v>7085</v>
          </cell>
          <cell r="P107">
            <v>4146</v>
          </cell>
          <cell r="R107">
            <v>10020</v>
          </cell>
          <cell r="S107">
            <v>3455</v>
          </cell>
          <cell r="V107">
            <v>2630</v>
          </cell>
          <cell r="DN107">
            <v>162310</v>
          </cell>
          <cell r="DO107">
            <v>107</v>
          </cell>
        </row>
        <row r="108">
          <cell r="A108" t="str">
            <v>Dubuque, IA Metro Area</v>
          </cell>
          <cell r="B108">
            <v>16769</v>
          </cell>
          <cell r="C108">
            <v>14278</v>
          </cell>
          <cell r="D108">
            <v>22129</v>
          </cell>
          <cell r="E108">
            <v>6025</v>
          </cell>
          <cell r="F108">
            <v>6776</v>
          </cell>
          <cell r="G108">
            <v>3708</v>
          </cell>
          <cell r="J108">
            <v>5231</v>
          </cell>
          <cell r="K108">
            <v>3207</v>
          </cell>
          <cell r="Q108">
            <v>4108</v>
          </cell>
          <cell r="R108">
            <v>3113</v>
          </cell>
          <cell r="V108">
            <v>3924</v>
          </cell>
          <cell r="Y108">
            <v>4385</v>
          </cell>
          <cell r="DN108">
            <v>93653</v>
          </cell>
          <cell r="DO108">
            <v>108</v>
          </cell>
        </row>
        <row r="109">
          <cell r="A109" t="str">
            <v>Duluth, MN-WI Metro Area</v>
          </cell>
          <cell r="B109">
            <v>6493</v>
          </cell>
          <cell r="C109">
            <v>15423</v>
          </cell>
          <cell r="D109">
            <v>27611</v>
          </cell>
          <cell r="E109">
            <v>13533</v>
          </cell>
          <cell r="F109">
            <v>25295</v>
          </cell>
          <cell r="G109">
            <v>17499</v>
          </cell>
          <cell r="H109">
            <v>11259</v>
          </cell>
          <cell r="I109">
            <v>6947</v>
          </cell>
          <cell r="J109">
            <v>5391</v>
          </cell>
          <cell r="L109">
            <v>3025</v>
          </cell>
          <cell r="N109">
            <v>15042</v>
          </cell>
          <cell r="P109">
            <v>12036</v>
          </cell>
          <cell r="R109">
            <v>5173</v>
          </cell>
          <cell r="S109">
            <v>3924</v>
          </cell>
          <cell r="U109">
            <v>7822</v>
          </cell>
          <cell r="W109">
            <v>6247</v>
          </cell>
          <cell r="X109">
            <v>3109</v>
          </cell>
          <cell r="AF109">
            <v>3315</v>
          </cell>
          <cell r="AG109">
            <v>5066</v>
          </cell>
          <cell r="AK109">
            <v>9954</v>
          </cell>
          <cell r="AN109">
            <v>3382</v>
          </cell>
          <cell r="AR109">
            <v>2151</v>
          </cell>
          <cell r="AX109">
            <v>2910</v>
          </cell>
          <cell r="AZ109">
            <v>2017</v>
          </cell>
          <cell r="BA109">
            <v>9090</v>
          </cell>
          <cell r="BB109">
            <v>2396</v>
          </cell>
          <cell r="BD109">
            <v>6468</v>
          </cell>
          <cell r="BE109">
            <v>5156</v>
          </cell>
          <cell r="BF109">
            <v>2388</v>
          </cell>
          <cell r="BG109">
            <v>4837</v>
          </cell>
          <cell r="BH109">
            <v>7195</v>
          </cell>
          <cell r="BI109">
            <v>4366</v>
          </cell>
          <cell r="BK109">
            <v>4976</v>
          </cell>
          <cell r="BN109">
            <v>1475</v>
          </cell>
          <cell r="BP109">
            <v>3521</v>
          </cell>
          <cell r="BV109">
            <v>6388</v>
          </cell>
          <cell r="CB109">
            <v>3450</v>
          </cell>
          <cell r="CL109">
            <v>3441</v>
          </cell>
          <cell r="DN109">
            <v>279771</v>
          </cell>
          <cell r="DO109">
            <v>109</v>
          </cell>
        </row>
        <row r="110">
          <cell r="A110" t="str">
            <v>Durham-Chapel Hill, NC Metro Area</v>
          </cell>
          <cell r="B110">
            <v>11116</v>
          </cell>
          <cell r="C110">
            <v>33610</v>
          </cell>
          <cell r="D110">
            <v>38421</v>
          </cell>
          <cell r="E110">
            <v>26422</v>
          </cell>
          <cell r="F110">
            <v>64224</v>
          </cell>
          <cell r="G110">
            <v>33160</v>
          </cell>
          <cell r="H110">
            <v>24366</v>
          </cell>
          <cell r="I110">
            <v>25840</v>
          </cell>
          <cell r="J110">
            <v>26305</v>
          </cell>
          <cell r="K110">
            <v>21068</v>
          </cell>
          <cell r="L110">
            <v>18438</v>
          </cell>
          <cell r="M110">
            <v>22137</v>
          </cell>
          <cell r="N110">
            <v>25232</v>
          </cell>
          <cell r="O110">
            <v>11442</v>
          </cell>
          <cell r="P110">
            <v>10498</v>
          </cell>
          <cell r="Q110">
            <v>2920</v>
          </cell>
          <cell r="S110">
            <v>9968</v>
          </cell>
          <cell r="T110">
            <v>11889</v>
          </cell>
          <cell r="U110">
            <v>9644</v>
          </cell>
          <cell r="V110">
            <v>6984</v>
          </cell>
          <cell r="X110">
            <v>3887</v>
          </cell>
          <cell r="Y110">
            <v>8760</v>
          </cell>
          <cell r="AA110">
            <v>5133</v>
          </cell>
          <cell r="AC110">
            <v>2851</v>
          </cell>
          <cell r="AE110">
            <v>20794</v>
          </cell>
          <cell r="AH110">
            <v>6749</v>
          </cell>
          <cell r="AJ110">
            <v>5351</v>
          </cell>
          <cell r="AL110">
            <v>10468</v>
          </cell>
          <cell r="AN110">
            <v>2929</v>
          </cell>
          <cell r="AR110">
            <v>3751</v>
          </cell>
          <cell r="DN110">
            <v>504357</v>
          </cell>
          <cell r="DO110">
            <v>110</v>
          </cell>
        </row>
        <row r="111">
          <cell r="A111" t="str">
            <v>Eau Claire, WI Metro Area</v>
          </cell>
          <cell r="B111">
            <v>17469</v>
          </cell>
          <cell r="C111">
            <v>21172</v>
          </cell>
          <cell r="D111">
            <v>18472</v>
          </cell>
          <cell r="E111">
            <v>16284</v>
          </cell>
          <cell r="F111">
            <v>13271</v>
          </cell>
          <cell r="I111">
            <v>12216</v>
          </cell>
          <cell r="J111">
            <v>4876</v>
          </cell>
          <cell r="K111">
            <v>5465</v>
          </cell>
          <cell r="L111">
            <v>5378</v>
          </cell>
          <cell r="M111">
            <v>7226</v>
          </cell>
          <cell r="O111">
            <v>4806</v>
          </cell>
          <cell r="T111">
            <v>6656</v>
          </cell>
          <cell r="W111">
            <v>7061</v>
          </cell>
          <cell r="X111">
            <v>11902</v>
          </cell>
          <cell r="AC111">
            <v>4077</v>
          </cell>
          <cell r="AF111">
            <v>4820</v>
          </cell>
          <cell r="DN111">
            <v>161151</v>
          </cell>
          <cell r="DO111">
            <v>111</v>
          </cell>
        </row>
        <row r="112">
          <cell r="A112" t="str">
            <v>El Centro, CA Metro Area</v>
          </cell>
          <cell r="B112">
            <v>22856</v>
          </cell>
          <cell r="C112">
            <v>19241</v>
          </cell>
          <cell r="D112">
            <v>5937</v>
          </cell>
          <cell r="E112">
            <v>22507</v>
          </cell>
          <cell r="H112">
            <v>3685</v>
          </cell>
          <cell r="J112">
            <v>18770</v>
          </cell>
          <cell r="K112">
            <v>20446</v>
          </cell>
          <cell r="L112">
            <v>1368</v>
          </cell>
          <cell r="M112">
            <v>6755</v>
          </cell>
          <cell r="N112">
            <v>11320</v>
          </cell>
          <cell r="O112">
            <v>14688</v>
          </cell>
          <cell r="Q112">
            <v>5633</v>
          </cell>
          <cell r="S112">
            <v>2640</v>
          </cell>
          <cell r="AA112">
            <v>5007</v>
          </cell>
          <cell r="AB112">
            <v>4601</v>
          </cell>
          <cell r="AM112">
            <v>1266</v>
          </cell>
          <cell r="AU112">
            <v>4756</v>
          </cell>
          <cell r="BE112">
            <v>3052</v>
          </cell>
          <cell r="DN112">
            <v>174528</v>
          </cell>
          <cell r="DO112">
            <v>112</v>
          </cell>
        </row>
        <row r="113">
          <cell r="A113" t="str">
            <v>Elizabethtown, KY Metro Area</v>
          </cell>
          <cell r="B113">
            <v>6801</v>
          </cell>
          <cell r="C113">
            <v>12936</v>
          </cell>
          <cell r="D113">
            <v>5300</v>
          </cell>
          <cell r="E113">
            <v>8344</v>
          </cell>
          <cell r="F113">
            <v>6762</v>
          </cell>
          <cell r="I113">
            <v>14521</v>
          </cell>
          <cell r="J113">
            <v>12922</v>
          </cell>
          <cell r="K113">
            <v>4846</v>
          </cell>
          <cell r="L113">
            <v>21495</v>
          </cell>
          <cell r="M113">
            <v>11138</v>
          </cell>
          <cell r="P113">
            <v>4514</v>
          </cell>
          <cell r="Q113">
            <v>5184</v>
          </cell>
          <cell r="R113">
            <v>1521</v>
          </cell>
          <cell r="S113">
            <v>2504</v>
          </cell>
          <cell r="W113">
            <v>948</v>
          </cell>
          <cell r="DN113">
            <v>119736</v>
          </cell>
          <cell r="DO113">
            <v>113</v>
          </cell>
        </row>
        <row r="114">
          <cell r="A114" t="str">
            <v>Elkhart-Goshen, IN Metro Area</v>
          </cell>
          <cell r="B114">
            <v>11304</v>
          </cell>
          <cell r="C114">
            <v>23917</v>
          </cell>
          <cell r="D114">
            <v>18612</v>
          </cell>
          <cell r="E114">
            <v>32466</v>
          </cell>
          <cell r="F114">
            <v>9471</v>
          </cell>
          <cell r="G114">
            <v>7035</v>
          </cell>
          <cell r="I114">
            <v>16616</v>
          </cell>
          <cell r="J114">
            <v>13615</v>
          </cell>
          <cell r="K114">
            <v>12388</v>
          </cell>
          <cell r="L114">
            <v>3202</v>
          </cell>
          <cell r="M114">
            <v>10813</v>
          </cell>
          <cell r="N114">
            <v>8909</v>
          </cell>
          <cell r="O114">
            <v>3972</v>
          </cell>
          <cell r="Q114">
            <v>12440</v>
          </cell>
          <cell r="R114">
            <v>12799</v>
          </cell>
          <cell r="DN114">
            <v>197559</v>
          </cell>
          <cell r="DO114">
            <v>114</v>
          </cell>
        </row>
        <row r="115">
          <cell r="A115" t="str">
            <v>Elmira, NY Metro Area</v>
          </cell>
          <cell r="B115">
            <v>12823</v>
          </cell>
          <cell r="C115">
            <v>21830</v>
          </cell>
          <cell r="D115">
            <v>6900</v>
          </cell>
          <cell r="E115">
            <v>6810</v>
          </cell>
          <cell r="F115">
            <v>8211</v>
          </cell>
          <cell r="G115">
            <v>3599</v>
          </cell>
          <cell r="H115">
            <v>15157</v>
          </cell>
          <cell r="I115">
            <v>4050</v>
          </cell>
          <cell r="L115">
            <v>5931</v>
          </cell>
          <cell r="M115">
            <v>3519</v>
          </cell>
          <cell r="DN115">
            <v>88830</v>
          </cell>
          <cell r="DO115">
            <v>115</v>
          </cell>
        </row>
        <row r="116">
          <cell r="A116" t="str">
            <v>El Paso, TX Metro Area</v>
          </cell>
          <cell r="B116">
            <v>16462</v>
          </cell>
          <cell r="C116">
            <v>14933</v>
          </cell>
          <cell r="D116">
            <v>17187</v>
          </cell>
          <cell r="E116">
            <v>32447</v>
          </cell>
          <cell r="F116">
            <v>37673</v>
          </cell>
          <cell r="G116">
            <v>33046</v>
          </cell>
          <cell r="H116">
            <v>38594</v>
          </cell>
          <cell r="I116">
            <v>77670</v>
          </cell>
          <cell r="J116">
            <v>51694</v>
          </cell>
          <cell r="K116">
            <v>74622</v>
          </cell>
          <cell r="L116">
            <v>70872</v>
          </cell>
          <cell r="M116">
            <v>61347</v>
          </cell>
          <cell r="N116">
            <v>81688</v>
          </cell>
          <cell r="O116">
            <v>29735</v>
          </cell>
          <cell r="P116">
            <v>34715</v>
          </cell>
          <cell r="Q116">
            <v>37904</v>
          </cell>
          <cell r="R116">
            <v>15223</v>
          </cell>
          <cell r="S116">
            <v>31379</v>
          </cell>
          <cell r="T116">
            <v>11969</v>
          </cell>
          <cell r="U116">
            <v>8202</v>
          </cell>
          <cell r="V116">
            <v>2265</v>
          </cell>
          <cell r="W116">
            <v>4291</v>
          </cell>
          <cell r="X116">
            <v>3991</v>
          </cell>
          <cell r="AA116">
            <v>2922</v>
          </cell>
          <cell r="AB116">
            <v>4000</v>
          </cell>
          <cell r="AE116">
            <v>3982</v>
          </cell>
          <cell r="AH116">
            <v>1834</v>
          </cell>
          <cell r="DN116">
            <v>800647</v>
          </cell>
          <cell r="DO116">
            <v>116</v>
          </cell>
        </row>
        <row r="117">
          <cell r="A117" t="str">
            <v>Erie, PA Metro Area</v>
          </cell>
          <cell r="B117">
            <v>23052</v>
          </cell>
          <cell r="C117">
            <v>32913</v>
          </cell>
          <cell r="D117">
            <v>34846</v>
          </cell>
          <cell r="E117">
            <v>43107</v>
          </cell>
          <cell r="F117">
            <v>22448</v>
          </cell>
          <cell r="G117">
            <v>8545</v>
          </cell>
          <cell r="H117">
            <v>15812</v>
          </cell>
          <cell r="I117">
            <v>10444</v>
          </cell>
          <cell r="K117">
            <v>9448</v>
          </cell>
          <cell r="L117">
            <v>5451</v>
          </cell>
          <cell r="O117">
            <v>5370</v>
          </cell>
          <cell r="P117">
            <v>17419</v>
          </cell>
          <cell r="Q117">
            <v>11667</v>
          </cell>
          <cell r="R117">
            <v>6065</v>
          </cell>
          <cell r="S117">
            <v>6438</v>
          </cell>
          <cell r="U117">
            <v>5164</v>
          </cell>
          <cell r="V117">
            <v>3320</v>
          </cell>
          <cell r="W117">
            <v>4941</v>
          </cell>
          <cell r="X117">
            <v>2211</v>
          </cell>
          <cell r="Y117">
            <v>2079</v>
          </cell>
          <cell r="Z117">
            <v>3221</v>
          </cell>
          <cell r="AB117">
            <v>6605</v>
          </cell>
          <cell r="DN117">
            <v>280566</v>
          </cell>
          <cell r="DO117">
            <v>117</v>
          </cell>
        </row>
        <row r="118">
          <cell r="A118" t="str">
            <v>Eugene-Springfield, OR Metro Area</v>
          </cell>
          <cell r="B118">
            <v>14542</v>
          </cell>
          <cell r="C118">
            <v>42254</v>
          </cell>
          <cell r="D118">
            <v>53214</v>
          </cell>
          <cell r="E118">
            <v>49434</v>
          </cell>
          <cell r="F118">
            <v>27040</v>
          </cell>
          <cell r="G118">
            <v>39072</v>
          </cell>
          <cell r="H118">
            <v>6508</v>
          </cell>
          <cell r="I118">
            <v>7900</v>
          </cell>
          <cell r="J118">
            <v>17233</v>
          </cell>
          <cell r="K118">
            <v>8993</v>
          </cell>
          <cell r="L118">
            <v>3839</v>
          </cell>
          <cell r="N118">
            <v>13786</v>
          </cell>
          <cell r="O118">
            <v>7924</v>
          </cell>
          <cell r="P118">
            <v>1613</v>
          </cell>
          <cell r="Q118">
            <v>11827</v>
          </cell>
          <cell r="R118">
            <v>5010</v>
          </cell>
          <cell r="T118">
            <v>12379</v>
          </cell>
          <cell r="Z118">
            <v>7667</v>
          </cell>
          <cell r="AH118">
            <v>2147</v>
          </cell>
          <cell r="AM118">
            <v>4478</v>
          </cell>
          <cell r="AX118">
            <v>2238</v>
          </cell>
          <cell r="AZ118">
            <v>6509</v>
          </cell>
          <cell r="BA118">
            <v>6108</v>
          </cell>
          <cell r="DN118">
            <v>351715</v>
          </cell>
          <cell r="DO118">
            <v>118</v>
          </cell>
        </row>
        <row r="119">
          <cell r="A119" t="str">
            <v>Evansville, IN-KY Metro Area</v>
          </cell>
          <cell r="B119">
            <v>13775</v>
          </cell>
          <cell r="C119">
            <v>21359</v>
          </cell>
          <cell r="D119">
            <v>36215</v>
          </cell>
          <cell r="E119">
            <v>24519</v>
          </cell>
          <cell r="F119">
            <v>25318</v>
          </cell>
          <cell r="G119">
            <v>30655</v>
          </cell>
          <cell r="H119">
            <v>17735</v>
          </cell>
          <cell r="I119">
            <v>19356</v>
          </cell>
          <cell r="J119">
            <v>8524</v>
          </cell>
          <cell r="K119">
            <v>28117</v>
          </cell>
          <cell r="L119">
            <v>26311</v>
          </cell>
          <cell r="M119">
            <v>7315</v>
          </cell>
          <cell r="N119">
            <v>2481</v>
          </cell>
          <cell r="Q119">
            <v>13053</v>
          </cell>
          <cell r="R119">
            <v>13266</v>
          </cell>
          <cell r="S119">
            <v>15682</v>
          </cell>
          <cell r="T119">
            <v>6983</v>
          </cell>
          <cell r="U119">
            <v>3317</v>
          </cell>
          <cell r="V119">
            <v>2341</v>
          </cell>
          <cell r="X119">
            <v>4026</v>
          </cell>
          <cell r="AA119">
            <v>13201</v>
          </cell>
          <cell r="AB119">
            <v>8063</v>
          </cell>
          <cell r="AC119">
            <v>4584</v>
          </cell>
          <cell r="AF119">
            <v>3443</v>
          </cell>
          <cell r="AG119">
            <v>2606</v>
          </cell>
          <cell r="AM119">
            <v>2435</v>
          </cell>
          <cell r="AP119">
            <v>3996</v>
          </cell>
          <cell r="DN119">
            <v>358676</v>
          </cell>
          <cell r="DO119">
            <v>119</v>
          </cell>
        </row>
        <row r="120">
          <cell r="A120" t="str">
            <v>Fairbanks, AK Metro Area</v>
          </cell>
          <cell r="B120">
            <v>10085</v>
          </cell>
          <cell r="C120">
            <v>15231</v>
          </cell>
          <cell r="D120">
            <v>9695</v>
          </cell>
          <cell r="E120">
            <v>11850</v>
          </cell>
          <cell r="G120">
            <v>18538</v>
          </cell>
          <cell r="I120">
            <v>13129</v>
          </cell>
          <cell r="N120">
            <v>4836</v>
          </cell>
          <cell r="O120">
            <v>10052</v>
          </cell>
          <cell r="W120">
            <v>2743</v>
          </cell>
          <cell r="AG120">
            <v>1422</v>
          </cell>
          <cell r="DN120">
            <v>97581</v>
          </cell>
          <cell r="DO120">
            <v>120</v>
          </cell>
        </row>
        <row r="121">
          <cell r="A121" t="str">
            <v>Fargo, ND-MN Metro Area</v>
          </cell>
          <cell r="B121">
            <v>11055</v>
          </cell>
          <cell r="C121">
            <v>35342</v>
          </cell>
          <cell r="D121">
            <v>42447</v>
          </cell>
          <cell r="E121">
            <v>31310</v>
          </cell>
          <cell r="F121">
            <v>17783</v>
          </cell>
          <cell r="G121">
            <v>15905</v>
          </cell>
          <cell r="H121">
            <v>29119</v>
          </cell>
          <cell r="J121">
            <v>3576</v>
          </cell>
          <cell r="L121">
            <v>1729</v>
          </cell>
          <cell r="S121">
            <v>2893</v>
          </cell>
          <cell r="V121">
            <v>3213</v>
          </cell>
          <cell r="W121">
            <v>5631</v>
          </cell>
          <cell r="X121">
            <v>2291</v>
          </cell>
          <cell r="Y121">
            <v>4528</v>
          </cell>
          <cell r="AL121">
            <v>1955</v>
          </cell>
          <cell r="DN121">
            <v>208777</v>
          </cell>
          <cell r="DO121">
            <v>121</v>
          </cell>
        </row>
        <row r="122">
          <cell r="A122" t="str">
            <v>Farmington, NM Metro Area</v>
          </cell>
          <cell r="B122">
            <v>9006</v>
          </cell>
          <cell r="C122">
            <v>8651</v>
          </cell>
          <cell r="D122">
            <v>14953</v>
          </cell>
          <cell r="E122">
            <v>5007</v>
          </cell>
          <cell r="F122">
            <v>5936</v>
          </cell>
          <cell r="G122">
            <v>4345</v>
          </cell>
          <cell r="H122">
            <v>7501</v>
          </cell>
          <cell r="I122">
            <v>6130</v>
          </cell>
          <cell r="J122">
            <v>6874</v>
          </cell>
          <cell r="K122">
            <v>6258</v>
          </cell>
          <cell r="L122">
            <v>4823</v>
          </cell>
          <cell r="N122">
            <v>6389</v>
          </cell>
          <cell r="O122">
            <v>7335</v>
          </cell>
          <cell r="P122">
            <v>4516</v>
          </cell>
          <cell r="U122">
            <v>3556</v>
          </cell>
          <cell r="V122">
            <v>4484</v>
          </cell>
          <cell r="X122">
            <v>5702</v>
          </cell>
          <cell r="AB122">
            <v>8847</v>
          </cell>
          <cell r="AE122">
            <v>2859</v>
          </cell>
          <cell r="AR122">
            <v>4929</v>
          </cell>
          <cell r="BE122">
            <v>1943</v>
          </cell>
          <cell r="DN122">
            <v>130044</v>
          </cell>
          <cell r="DO122">
            <v>122</v>
          </cell>
        </row>
        <row r="123">
          <cell r="A123" t="str">
            <v>Fayetteville, NC Metro Area</v>
          </cell>
          <cell r="B123">
            <v>7264</v>
          </cell>
          <cell r="C123">
            <v>2330</v>
          </cell>
          <cell r="D123">
            <v>30611</v>
          </cell>
          <cell r="E123">
            <v>12641</v>
          </cell>
          <cell r="F123">
            <v>53306</v>
          </cell>
          <cell r="G123">
            <v>31742</v>
          </cell>
          <cell r="H123">
            <v>37899</v>
          </cell>
          <cell r="I123">
            <v>28674</v>
          </cell>
          <cell r="J123">
            <v>37587</v>
          </cell>
          <cell r="K123">
            <v>46980</v>
          </cell>
          <cell r="L123">
            <v>13535</v>
          </cell>
          <cell r="M123">
            <v>12303</v>
          </cell>
          <cell r="N123">
            <v>7549</v>
          </cell>
          <cell r="O123">
            <v>4559</v>
          </cell>
          <cell r="P123">
            <v>19677</v>
          </cell>
          <cell r="S123">
            <v>3710</v>
          </cell>
          <cell r="U123">
            <v>5125</v>
          </cell>
          <cell r="V123">
            <v>0</v>
          </cell>
          <cell r="X123">
            <v>3044</v>
          </cell>
          <cell r="Z123">
            <v>3643</v>
          </cell>
          <cell r="AB123">
            <v>4204</v>
          </cell>
          <cell r="DN123">
            <v>366383</v>
          </cell>
          <cell r="DO123">
            <v>123</v>
          </cell>
        </row>
        <row r="124">
          <cell r="A124" t="str">
            <v>Fayetteville-Springdale-Rogers, AR-MO Metro Area</v>
          </cell>
          <cell r="B124">
            <v>7532</v>
          </cell>
          <cell r="C124">
            <v>25454</v>
          </cell>
          <cell r="D124">
            <v>10441</v>
          </cell>
          <cell r="E124">
            <v>6370</v>
          </cell>
          <cell r="F124">
            <v>14910</v>
          </cell>
          <cell r="G124">
            <v>20685</v>
          </cell>
          <cell r="H124">
            <v>30839</v>
          </cell>
          <cell r="I124">
            <v>23031</v>
          </cell>
          <cell r="J124">
            <v>11133</v>
          </cell>
          <cell r="K124">
            <v>29085</v>
          </cell>
          <cell r="M124">
            <v>12969</v>
          </cell>
          <cell r="N124">
            <v>7382</v>
          </cell>
          <cell r="O124">
            <v>17053</v>
          </cell>
          <cell r="Q124">
            <v>7745</v>
          </cell>
          <cell r="R124">
            <v>17030</v>
          </cell>
          <cell r="S124">
            <v>9432</v>
          </cell>
          <cell r="T124">
            <v>20028</v>
          </cell>
          <cell r="U124">
            <v>26592</v>
          </cell>
          <cell r="V124">
            <v>25922</v>
          </cell>
          <cell r="W124">
            <v>15966</v>
          </cell>
          <cell r="X124">
            <v>16004</v>
          </cell>
          <cell r="Y124">
            <v>27476</v>
          </cell>
          <cell r="Z124">
            <v>3476</v>
          </cell>
          <cell r="AA124">
            <v>6443</v>
          </cell>
          <cell r="AB124">
            <v>10451</v>
          </cell>
          <cell r="AC124">
            <v>9148</v>
          </cell>
          <cell r="AD124">
            <v>5952</v>
          </cell>
          <cell r="AE124">
            <v>9128</v>
          </cell>
          <cell r="AF124">
            <v>9149</v>
          </cell>
          <cell r="AG124">
            <v>3295</v>
          </cell>
          <cell r="AM124">
            <v>6194</v>
          </cell>
          <cell r="AN124">
            <v>5890</v>
          </cell>
          <cell r="AR124">
            <v>6432</v>
          </cell>
          <cell r="AX124">
            <v>4567</v>
          </cell>
          <cell r="DN124">
            <v>463204</v>
          </cell>
          <cell r="DO124">
            <v>124</v>
          </cell>
        </row>
        <row r="125">
          <cell r="A125" t="str">
            <v>Flagstaff, AZ Metro Area</v>
          </cell>
          <cell r="B125">
            <v>6986</v>
          </cell>
          <cell r="C125">
            <v>22398</v>
          </cell>
          <cell r="D125">
            <v>24250</v>
          </cell>
          <cell r="E125">
            <v>3647</v>
          </cell>
          <cell r="F125">
            <v>9857</v>
          </cell>
          <cell r="I125">
            <v>6457</v>
          </cell>
          <cell r="J125">
            <v>5102</v>
          </cell>
          <cell r="M125">
            <v>5536</v>
          </cell>
          <cell r="Z125">
            <v>6336</v>
          </cell>
          <cell r="AF125">
            <v>3417</v>
          </cell>
          <cell r="AP125">
            <v>3679</v>
          </cell>
          <cell r="AT125">
            <v>6674</v>
          </cell>
          <cell r="BR125">
            <v>8732</v>
          </cell>
          <cell r="BS125">
            <v>4180</v>
          </cell>
          <cell r="CU125">
            <v>4073</v>
          </cell>
          <cell r="CV125">
            <v>3813</v>
          </cell>
          <cell r="CX125">
            <v>7247</v>
          </cell>
          <cell r="CZ125">
            <v>2037</v>
          </cell>
          <cell r="DN125">
            <v>134421</v>
          </cell>
          <cell r="DO125">
            <v>125</v>
          </cell>
        </row>
        <row r="126">
          <cell r="A126" t="str">
            <v>Flint, MI Metro Area</v>
          </cell>
          <cell r="B126">
            <v>6171</v>
          </cell>
          <cell r="C126">
            <v>26438</v>
          </cell>
          <cell r="D126">
            <v>56579</v>
          </cell>
          <cell r="E126">
            <v>38244</v>
          </cell>
          <cell r="F126">
            <v>27952</v>
          </cell>
          <cell r="G126">
            <v>50038</v>
          </cell>
          <cell r="H126">
            <v>20342</v>
          </cell>
          <cell r="I126">
            <v>47341</v>
          </cell>
          <cell r="J126">
            <v>36425</v>
          </cell>
          <cell r="K126">
            <v>19577</v>
          </cell>
          <cell r="L126">
            <v>16413</v>
          </cell>
          <cell r="M126">
            <v>20998</v>
          </cell>
          <cell r="N126">
            <v>11495</v>
          </cell>
          <cell r="O126">
            <v>13186</v>
          </cell>
          <cell r="P126">
            <v>12551</v>
          </cell>
          <cell r="Q126">
            <v>15127</v>
          </cell>
          <cell r="R126">
            <v>6913</v>
          </cell>
          <cell r="DN126">
            <v>425790</v>
          </cell>
          <cell r="DO126">
            <v>126</v>
          </cell>
        </row>
        <row r="127">
          <cell r="A127" t="str">
            <v>Florence, SC Metro Area</v>
          </cell>
          <cell r="B127">
            <v>9390</v>
          </cell>
          <cell r="C127">
            <v>10990</v>
          </cell>
          <cell r="D127">
            <v>10577</v>
          </cell>
          <cell r="E127">
            <v>12381</v>
          </cell>
          <cell r="F127">
            <v>16523</v>
          </cell>
          <cell r="G127">
            <v>16757</v>
          </cell>
          <cell r="H127">
            <v>9330</v>
          </cell>
          <cell r="I127">
            <v>13440</v>
          </cell>
          <cell r="K127">
            <v>10898</v>
          </cell>
          <cell r="L127">
            <v>16460</v>
          </cell>
          <cell r="N127">
            <v>2488</v>
          </cell>
          <cell r="O127">
            <v>7503</v>
          </cell>
          <cell r="Q127">
            <v>4006</v>
          </cell>
          <cell r="R127">
            <v>3544</v>
          </cell>
          <cell r="T127">
            <v>6590</v>
          </cell>
          <cell r="U127">
            <v>3879</v>
          </cell>
          <cell r="V127">
            <v>11560</v>
          </cell>
          <cell r="W127">
            <v>6394</v>
          </cell>
          <cell r="X127">
            <v>11253</v>
          </cell>
          <cell r="Y127">
            <v>3394</v>
          </cell>
          <cell r="Z127">
            <v>11653</v>
          </cell>
          <cell r="AF127">
            <v>6556</v>
          </cell>
          <cell r="DN127">
            <v>205566</v>
          </cell>
          <cell r="DO127">
            <v>127</v>
          </cell>
        </row>
        <row r="128">
          <cell r="A128" t="str">
            <v>Florence-Muscle Shoals, AL Metro Area</v>
          </cell>
          <cell r="B128">
            <v>8165</v>
          </cell>
          <cell r="C128">
            <v>4969</v>
          </cell>
          <cell r="D128">
            <v>20914</v>
          </cell>
          <cell r="E128">
            <v>10818</v>
          </cell>
          <cell r="F128">
            <v>23012</v>
          </cell>
          <cell r="G128">
            <v>11324</v>
          </cell>
          <cell r="I128">
            <v>4023</v>
          </cell>
          <cell r="J128">
            <v>5231</v>
          </cell>
          <cell r="K128">
            <v>4487</v>
          </cell>
          <cell r="L128">
            <v>15013</v>
          </cell>
          <cell r="M128">
            <v>6610</v>
          </cell>
          <cell r="N128">
            <v>8093</v>
          </cell>
          <cell r="P128">
            <v>5073</v>
          </cell>
          <cell r="S128">
            <v>4480</v>
          </cell>
          <cell r="T128">
            <v>6295</v>
          </cell>
          <cell r="W128">
            <v>3708</v>
          </cell>
          <cell r="Y128">
            <v>4922</v>
          </cell>
          <cell r="DN128">
            <v>147137</v>
          </cell>
          <cell r="DO128">
            <v>128</v>
          </cell>
        </row>
        <row r="129">
          <cell r="A129" t="str">
            <v>Fond du Lac, WI Metro Area</v>
          </cell>
          <cell r="B129">
            <v>17579</v>
          </cell>
          <cell r="C129">
            <v>26678</v>
          </cell>
          <cell r="E129">
            <v>6573</v>
          </cell>
          <cell r="F129">
            <v>8718</v>
          </cell>
          <cell r="I129">
            <v>13073</v>
          </cell>
          <cell r="M129">
            <v>4927</v>
          </cell>
          <cell r="Q129">
            <v>6115</v>
          </cell>
          <cell r="R129">
            <v>8837</v>
          </cell>
          <cell r="U129">
            <v>3096</v>
          </cell>
          <cell r="V129">
            <v>6037</v>
          </cell>
          <cell r="DN129">
            <v>101633</v>
          </cell>
          <cell r="DO129">
            <v>129</v>
          </cell>
        </row>
        <row r="130">
          <cell r="A130" t="str">
            <v>Fort Collins-Loveland, CO Metro Area</v>
          </cell>
          <cell r="B130">
            <v>7542</v>
          </cell>
          <cell r="C130">
            <v>32992</v>
          </cell>
          <cell r="D130">
            <v>26169</v>
          </cell>
          <cell r="E130">
            <v>35432</v>
          </cell>
          <cell r="F130">
            <v>33614</v>
          </cell>
          <cell r="G130">
            <v>17874</v>
          </cell>
          <cell r="H130">
            <v>10809</v>
          </cell>
          <cell r="I130">
            <v>5116</v>
          </cell>
          <cell r="J130">
            <v>18613</v>
          </cell>
          <cell r="L130">
            <v>17899</v>
          </cell>
          <cell r="M130">
            <v>15291</v>
          </cell>
          <cell r="N130">
            <v>14959</v>
          </cell>
          <cell r="O130">
            <v>18347</v>
          </cell>
          <cell r="P130">
            <v>10361</v>
          </cell>
          <cell r="Q130">
            <v>6016</v>
          </cell>
          <cell r="R130">
            <v>2963</v>
          </cell>
          <cell r="U130">
            <v>11509</v>
          </cell>
          <cell r="V130">
            <v>3765</v>
          </cell>
          <cell r="AB130">
            <v>3189</v>
          </cell>
          <cell r="AD130">
            <v>7078</v>
          </cell>
          <cell r="AE130">
            <v>92</v>
          </cell>
          <cell r="DN130">
            <v>299630</v>
          </cell>
          <cell r="DO130">
            <v>130</v>
          </cell>
        </row>
        <row r="131">
          <cell r="A131" t="str">
            <v>Fort Smith, AR-OK Metro Area</v>
          </cell>
          <cell r="B131">
            <v>2640</v>
          </cell>
          <cell r="C131">
            <v>17544</v>
          </cell>
          <cell r="D131">
            <v>22503</v>
          </cell>
          <cell r="E131">
            <v>18160</v>
          </cell>
          <cell r="F131">
            <v>5698</v>
          </cell>
          <cell r="G131">
            <v>13316</v>
          </cell>
          <cell r="H131">
            <v>41658</v>
          </cell>
          <cell r="J131">
            <v>5100</v>
          </cell>
          <cell r="K131">
            <v>13609</v>
          </cell>
          <cell r="L131">
            <v>9386</v>
          </cell>
          <cell r="M131">
            <v>6086</v>
          </cell>
          <cell r="O131">
            <v>18532</v>
          </cell>
          <cell r="P131">
            <v>6120</v>
          </cell>
          <cell r="Q131">
            <v>9971</v>
          </cell>
          <cell r="R131">
            <v>3734</v>
          </cell>
          <cell r="S131">
            <v>4009</v>
          </cell>
          <cell r="U131">
            <v>11103</v>
          </cell>
          <cell r="V131">
            <v>6931</v>
          </cell>
          <cell r="W131">
            <v>17696</v>
          </cell>
          <cell r="X131">
            <v>12189</v>
          </cell>
          <cell r="Z131">
            <v>4779</v>
          </cell>
          <cell r="AA131">
            <v>3981</v>
          </cell>
          <cell r="AB131">
            <v>6987</v>
          </cell>
          <cell r="AH131">
            <v>3832</v>
          </cell>
          <cell r="AI131">
            <v>5509</v>
          </cell>
          <cell r="AK131">
            <v>7306</v>
          </cell>
          <cell r="AL131">
            <v>11649</v>
          </cell>
          <cell r="AM131">
            <v>5387</v>
          </cell>
          <cell r="BE131">
            <v>3177</v>
          </cell>
          <cell r="DN131">
            <v>298592</v>
          </cell>
          <cell r="DO131">
            <v>131</v>
          </cell>
        </row>
        <row r="132">
          <cell r="A132" t="str">
            <v>Fort Wayne, IN Metro Area</v>
          </cell>
          <cell r="B132">
            <v>9459</v>
          </cell>
          <cell r="C132">
            <v>42516</v>
          </cell>
          <cell r="D132">
            <v>35697</v>
          </cell>
          <cell r="E132">
            <v>35143</v>
          </cell>
          <cell r="F132">
            <v>52340</v>
          </cell>
          <cell r="G132">
            <v>41057</v>
          </cell>
          <cell r="H132">
            <v>39218</v>
          </cell>
          <cell r="I132">
            <v>34745</v>
          </cell>
          <cell r="J132">
            <v>10148</v>
          </cell>
          <cell r="K132">
            <v>19625</v>
          </cell>
          <cell r="L132">
            <v>12120</v>
          </cell>
          <cell r="M132">
            <v>2613</v>
          </cell>
          <cell r="N132">
            <v>13958</v>
          </cell>
          <cell r="P132">
            <v>7777</v>
          </cell>
          <cell r="Q132">
            <v>13438</v>
          </cell>
          <cell r="R132">
            <v>1927</v>
          </cell>
          <cell r="S132">
            <v>3717</v>
          </cell>
          <cell r="T132">
            <v>11913</v>
          </cell>
          <cell r="X132">
            <v>8976</v>
          </cell>
          <cell r="Y132">
            <v>7929</v>
          </cell>
          <cell r="Z132">
            <v>2803</v>
          </cell>
          <cell r="AA132">
            <v>5303</v>
          </cell>
          <cell r="AG132">
            <v>3835</v>
          </cell>
          <cell r="DN132">
            <v>416257</v>
          </cell>
          <cell r="DO132">
            <v>132</v>
          </cell>
        </row>
        <row r="133">
          <cell r="A133" t="str">
            <v>Fresno, CA Metro Area</v>
          </cell>
          <cell r="B133">
            <v>15442</v>
          </cell>
          <cell r="C133">
            <v>62133</v>
          </cell>
          <cell r="D133">
            <v>67547</v>
          </cell>
          <cell r="E133">
            <v>94183</v>
          </cell>
          <cell r="F133">
            <v>57732</v>
          </cell>
          <cell r="G133">
            <v>89023</v>
          </cell>
          <cell r="H133">
            <v>88908</v>
          </cell>
          <cell r="I133">
            <v>57482</v>
          </cell>
          <cell r="J133">
            <v>72737</v>
          </cell>
          <cell r="K133">
            <v>43949</v>
          </cell>
          <cell r="L133">
            <v>20014</v>
          </cell>
          <cell r="M133">
            <v>15612</v>
          </cell>
          <cell r="N133">
            <v>22907</v>
          </cell>
          <cell r="O133">
            <v>17165</v>
          </cell>
          <cell r="P133">
            <v>21829</v>
          </cell>
          <cell r="Q133">
            <v>29120</v>
          </cell>
          <cell r="R133">
            <v>13733</v>
          </cell>
          <cell r="S133">
            <v>4019</v>
          </cell>
          <cell r="U133">
            <v>12780</v>
          </cell>
          <cell r="V133">
            <v>9301</v>
          </cell>
          <cell r="W133">
            <v>29007</v>
          </cell>
          <cell r="Y133">
            <v>4909</v>
          </cell>
          <cell r="Z133">
            <v>4795</v>
          </cell>
          <cell r="AA133">
            <v>6978</v>
          </cell>
          <cell r="AB133">
            <v>6662</v>
          </cell>
          <cell r="AC133">
            <v>4159</v>
          </cell>
          <cell r="AH133">
            <v>2973</v>
          </cell>
          <cell r="AI133">
            <v>12293</v>
          </cell>
          <cell r="AJ133">
            <v>6562</v>
          </cell>
          <cell r="AN133">
            <v>7991</v>
          </cell>
          <cell r="AO133">
            <v>5269</v>
          </cell>
          <cell r="AQ133">
            <v>2722</v>
          </cell>
          <cell r="AW133">
            <v>1152</v>
          </cell>
          <cell r="AX133">
            <v>2742</v>
          </cell>
          <cell r="AY133">
            <v>5652</v>
          </cell>
          <cell r="BB133">
            <v>10968</v>
          </cell>
          <cell r="DN133">
            <v>930450</v>
          </cell>
          <cell r="DO133">
            <v>133</v>
          </cell>
        </row>
        <row r="134">
          <cell r="A134" t="str">
            <v>Gadsden, AL Metro Area</v>
          </cell>
          <cell r="B134">
            <v>6117</v>
          </cell>
          <cell r="C134">
            <v>7993</v>
          </cell>
          <cell r="D134">
            <v>15124</v>
          </cell>
          <cell r="E134">
            <v>10145</v>
          </cell>
          <cell r="F134">
            <v>5530</v>
          </cell>
          <cell r="G134">
            <v>4988</v>
          </cell>
          <cell r="H134">
            <v>20086</v>
          </cell>
          <cell r="I134">
            <v>11144</v>
          </cell>
          <cell r="J134">
            <v>1721</v>
          </cell>
          <cell r="K134">
            <v>2918</v>
          </cell>
          <cell r="L134">
            <v>3984</v>
          </cell>
          <cell r="M134">
            <v>9378</v>
          </cell>
          <cell r="Q134">
            <v>5302</v>
          </cell>
          <cell r="DN134">
            <v>104430</v>
          </cell>
          <cell r="DO134">
            <v>134</v>
          </cell>
        </row>
        <row r="135">
          <cell r="A135" t="str">
            <v>Gainesville, FL Metro Area</v>
          </cell>
          <cell r="B135">
            <v>12407</v>
          </cell>
          <cell r="C135">
            <v>26965</v>
          </cell>
          <cell r="D135">
            <v>35106</v>
          </cell>
          <cell r="E135">
            <v>34158</v>
          </cell>
          <cell r="F135">
            <v>21644</v>
          </cell>
          <cell r="G135">
            <v>27423</v>
          </cell>
          <cell r="H135">
            <v>6429</v>
          </cell>
          <cell r="I135">
            <v>22245</v>
          </cell>
          <cell r="J135">
            <v>4463</v>
          </cell>
          <cell r="K135">
            <v>4698</v>
          </cell>
          <cell r="L135">
            <v>8540</v>
          </cell>
          <cell r="M135">
            <v>9871</v>
          </cell>
          <cell r="O135">
            <v>12900</v>
          </cell>
          <cell r="S135">
            <v>20487</v>
          </cell>
          <cell r="X135">
            <v>3145</v>
          </cell>
          <cell r="Z135">
            <v>2112</v>
          </cell>
          <cell r="AE135">
            <v>3284</v>
          </cell>
          <cell r="AI135">
            <v>5358</v>
          </cell>
          <cell r="AJ135">
            <v>3040</v>
          </cell>
          <cell r="DN135">
            <v>264275</v>
          </cell>
          <cell r="DO135">
            <v>135</v>
          </cell>
        </row>
        <row r="136">
          <cell r="A136" t="str">
            <v>Gainesville, GA Metro Area</v>
          </cell>
          <cell r="B136">
            <v>8858</v>
          </cell>
          <cell r="C136">
            <v>11788</v>
          </cell>
          <cell r="D136">
            <v>13150</v>
          </cell>
          <cell r="E136">
            <v>13684</v>
          </cell>
          <cell r="F136">
            <v>23806</v>
          </cell>
          <cell r="G136">
            <v>17350</v>
          </cell>
          <cell r="H136">
            <v>10492</v>
          </cell>
          <cell r="I136">
            <v>13113</v>
          </cell>
          <cell r="J136">
            <v>17824</v>
          </cell>
          <cell r="K136">
            <v>16249</v>
          </cell>
          <cell r="L136">
            <v>11152</v>
          </cell>
          <cell r="N136">
            <v>17430</v>
          </cell>
          <cell r="O136">
            <v>4788</v>
          </cell>
          <cell r="DN136">
            <v>179684</v>
          </cell>
          <cell r="DO136">
            <v>136</v>
          </cell>
        </row>
        <row r="137">
          <cell r="A137" t="str">
            <v>Glens Falls, NY Metro Area</v>
          </cell>
          <cell r="B137">
            <v>14700</v>
          </cell>
          <cell r="D137">
            <v>11042</v>
          </cell>
          <cell r="E137">
            <v>22659</v>
          </cell>
          <cell r="F137">
            <v>11761</v>
          </cell>
          <cell r="J137">
            <v>4828</v>
          </cell>
          <cell r="K137">
            <v>7297</v>
          </cell>
          <cell r="M137">
            <v>2269</v>
          </cell>
          <cell r="N137">
            <v>6190</v>
          </cell>
          <cell r="Q137">
            <v>9036</v>
          </cell>
          <cell r="R137">
            <v>1853</v>
          </cell>
          <cell r="S137">
            <v>4312</v>
          </cell>
          <cell r="T137">
            <v>2715</v>
          </cell>
          <cell r="U137">
            <v>9005</v>
          </cell>
          <cell r="V137">
            <v>1800</v>
          </cell>
          <cell r="W137">
            <v>4980</v>
          </cell>
          <cell r="Y137">
            <v>2021</v>
          </cell>
          <cell r="AA137">
            <v>3356</v>
          </cell>
          <cell r="AC137">
            <v>4616</v>
          </cell>
          <cell r="AD137">
            <v>2088</v>
          </cell>
          <cell r="AE137">
            <v>2395</v>
          </cell>
          <cell r="DN137">
            <v>128923</v>
          </cell>
          <cell r="DO137">
            <v>137</v>
          </cell>
        </row>
        <row r="138">
          <cell r="A138" t="str">
            <v>Goldsboro, NC Metro Area</v>
          </cell>
          <cell r="B138">
            <v>3915</v>
          </cell>
          <cell r="C138">
            <v>13732</v>
          </cell>
          <cell r="D138">
            <v>9300</v>
          </cell>
          <cell r="E138">
            <v>3329</v>
          </cell>
          <cell r="F138">
            <v>6122</v>
          </cell>
          <cell r="G138">
            <v>28794</v>
          </cell>
          <cell r="H138">
            <v>11360</v>
          </cell>
          <cell r="I138">
            <v>6326</v>
          </cell>
          <cell r="J138">
            <v>10918</v>
          </cell>
          <cell r="K138">
            <v>7215</v>
          </cell>
          <cell r="M138">
            <v>8980</v>
          </cell>
          <cell r="N138">
            <v>7512</v>
          </cell>
          <cell r="O138">
            <v>5120</v>
          </cell>
          <cell r="DN138">
            <v>122623</v>
          </cell>
          <cell r="DO138">
            <v>138</v>
          </cell>
        </row>
        <row r="139">
          <cell r="A139" t="str">
            <v>Grand Forks, ND-MN Metro Area</v>
          </cell>
          <cell r="B139">
            <v>12835</v>
          </cell>
          <cell r="C139">
            <v>21207</v>
          </cell>
          <cell r="D139">
            <v>22120</v>
          </cell>
          <cell r="E139">
            <v>4617</v>
          </cell>
          <cell r="H139">
            <v>5882</v>
          </cell>
          <cell r="K139">
            <v>2171</v>
          </cell>
          <cell r="Q139">
            <v>2367</v>
          </cell>
          <cell r="T139">
            <v>2273</v>
          </cell>
          <cell r="V139">
            <v>2778</v>
          </cell>
          <cell r="X139">
            <v>8139</v>
          </cell>
          <cell r="AB139">
            <v>2746</v>
          </cell>
          <cell r="AC139">
            <v>1652</v>
          </cell>
          <cell r="AQ139">
            <v>2206</v>
          </cell>
          <cell r="BA139">
            <v>3876</v>
          </cell>
          <cell r="BO139">
            <v>3592</v>
          </cell>
          <cell r="DN139">
            <v>98461</v>
          </cell>
          <cell r="DO139">
            <v>139</v>
          </cell>
        </row>
        <row r="140">
          <cell r="A140" t="str">
            <v>Grand Junction, CO Metro Area</v>
          </cell>
          <cell r="B140">
            <v>3472</v>
          </cell>
          <cell r="C140">
            <v>15618</v>
          </cell>
          <cell r="D140">
            <v>30847</v>
          </cell>
          <cell r="E140">
            <v>21271</v>
          </cell>
          <cell r="F140">
            <v>13048</v>
          </cell>
          <cell r="G140">
            <v>20958</v>
          </cell>
          <cell r="H140">
            <v>13606</v>
          </cell>
          <cell r="L140">
            <v>17265</v>
          </cell>
          <cell r="N140">
            <v>7214</v>
          </cell>
          <cell r="AD140">
            <v>3424</v>
          </cell>
          <cell r="DN140">
            <v>146723</v>
          </cell>
          <cell r="DO140">
            <v>140</v>
          </cell>
        </row>
        <row r="141">
          <cell r="A141" t="str">
            <v>Grand Rapids-Wyoming, MI Metro Area</v>
          </cell>
          <cell r="B141">
            <v>16099</v>
          </cell>
          <cell r="C141">
            <v>59514</v>
          </cell>
          <cell r="D141">
            <v>51922</v>
          </cell>
          <cell r="E141">
            <v>57352</v>
          </cell>
          <cell r="F141">
            <v>62586</v>
          </cell>
          <cell r="G141">
            <v>57834</v>
          </cell>
          <cell r="H141">
            <v>50162</v>
          </cell>
          <cell r="I141">
            <v>55745</v>
          </cell>
          <cell r="J141">
            <v>33182</v>
          </cell>
          <cell r="K141">
            <v>27368</v>
          </cell>
          <cell r="L141">
            <v>10835</v>
          </cell>
          <cell r="M141">
            <v>15797</v>
          </cell>
          <cell r="N141">
            <v>15442</v>
          </cell>
          <cell r="O141">
            <v>26344</v>
          </cell>
          <cell r="P141">
            <v>11710</v>
          </cell>
          <cell r="Q141">
            <v>7652</v>
          </cell>
          <cell r="R141">
            <v>14332</v>
          </cell>
          <cell r="T141">
            <v>4137</v>
          </cell>
          <cell r="U141">
            <v>18399</v>
          </cell>
          <cell r="V141">
            <v>5808</v>
          </cell>
          <cell r="W141">
            <v>5871</v>
          </cell>
          <cell r="X141">
            <v>8098</v>
          </cell>
          <cell r="Y141">
            <v>7064</v>
          </cell>
          <cell r="Z141">
            <v>15245</v>
          </cell>
          <cell r="AA141">
            <v>2415</v>
          </cell>
          <cell r="AB141">
            <v>5059</v>
          </cell>
          <cell r="AC141">
            <v>10589</v>
          </cell>
          <cell r="AD141">
            <v>8581</v>
          </cell>
          <cell r="AE141">
            <v>6231</v>
          </cell>
          <cell r="AF141">
            <v>22560</v>
          </cell>
          <cell r="AG141">
            <v>9468</v>
          </cell>
          <cell r="AJ141">
            <v>5719</v>
          </cell>
          <cell r="AK141">
            <v>18649</v>
          </cell>
          <cell r="AL141">
            <v>4020</v>
          </cell>
          <cell r="AM141">
            <v>11164</v>
          </cell>
          <cell r="AN141">
            <v>9615</v>
          </cell>
          <cell r="AP141">
            <v>9804</v>
          </cell>
          <cell r="AR141">
            <v>3378</v>
          </cell>
          <cell r="AT141">
            <v>3640</v>
          </cell>
          <cell r="BA141">
            <v>4770</v>
          </cell>
          <cell r="DN141">
            <v>774160</v>
          </cell>
          <cell r="DO141">
            <v>141</v>
          </cell>
        </row>
        <row r="142">
          <cell r="A142" t="str">
            <v>Great Falls, MT Metro Area</v>
          </cell>
          <cell r="B142">
            <v>6883</v>
          </cell>
          <cell r="C142">
            <v>23108</v>
          </cell>
          <cell r="D142">
            <v>20044</v>
          </cell>
          <cell r="E142">
            <v>14121</v>
          </cell>
          <cell r="G142">
            <v>7218</v>
          </cell>
          <cell r="Q142">
            <v>8189</v>
          </cell>
          <cell r="AB142">
            <v>1764</v>
          </cell>
          <cell r="DN142">
            <v>81327</v>
          </cell>
          <cell r="DO142">
            <v>142</v>
          </cell>
        </row>
        <row r="143">
          <cell r="A143" t="str">
            <v>Greeley, CO Metro Area</v>
          </cell>
          <cell r="B143">
            <v>17080</v>
          </cell>
          <cell r="C143">
            <v>32717</v>
          </cell>
          <cell r="D143">
            <v>25672</v>
          </cell>
          <cell r="E143">
            <v>20752</v>
          </cell>
          <cell r="F143">
            <v>15745</v>
          </cell>
          <cell r="G143">
            <v>4242</v>
          </cell>
          <cell r="H143">
            <v>6547</v>
          </cell>
          <cell r="I143">
            <v>8999</v>
          </cell>
          <cell r="K143">
            <v>8223</v>
          </cell>
          <cell r="L143">
            <v>2013</v>
          </cell>
          <cell r="M143">
            <v>10086</v>
          </cell>
          <cell r="N143">
            <v>10902</v>
          </cell>
          <cell r="O143">
            <v>9989</v>
          </cell>
          <cell r="Q143">
            <v>4222</v>
          </cell>
          <cell r="U143">
            <v>4843</v>
          </cell>
          <cell r="W143">
            <v>9511</v>
          </cell>
          <cell r="X143">
            <v>5612</v>
          </cell>
          <cell r="Y143">
            <v>8628</v>
          </cell>
          <cell r="Z143">
            <v>11439</v>
          </cell>
          <cell r="AA143">
            <v>9059</v>
          </cell>
          <cell r="AB143">
            <v>14247</v>
          </cell>
          <cell r="AC143">
            <v>334</v>
          </cell>
          <cell r="AE143">
            <v>900</v>
          </cell>
          <cell r="AF143">
            <v>1332</v>
          </cell>
          <cell r="AH143">
            <v>5110</v>
          </cell>
          <cell r="AI143">
            <v>4621</v>
          </cell>
          <cell r="DN143">
            <v>252825</v>
          </cell>
          <cell r="DO143">
            <v>143</v>
          </cell>
        </row>
        <row r="144">
          <cell r="A144" t="str">
            <v>Green Bay, WI Metro Area</v>
          </cell>
          <cell r="B144">
            <v>11408</v>
          </cell>
          <cell r="C144">
            <v>30102</v>
          </cell>
          <cell r="D144">
            <v>34341</v>
          </cell>
          <cell r="E144">
            <v>41629</v>
          </cell>
          <cell r="F144">
            <v>26101</v>
          </cell>
          <cell r="G144">
            <v>36319</v>
          </cell>
          <cell r="H144">
            <v>29859</v>
          </cell>
          <cell r="J144">
            <v>11346</v>
          </cell>
          <cell r="K144">
            <v>5645</v>
          </cell>
          <cell r="N144">
            <v>12210</v>
          </cell>
          <cell r="O144">
            <v>5929</v>
          </cell>
          <cell r="Q144">
            <v>8785</v>
          </cell>
          <cell r="R144">
            <v>11707</v>
          </cell>
          <cell r="W144">
            <v>4588</v>
          </cell>
          <cell r="X144">
            <v>6176</v>
          </cell>
          <cell r="AA144">
            <v>2647</v>
          </cell>
          <cell r="AB144">
            <v>8091</v>
          </cell>
          <cell r="AD144">
            <v>6086</v>
          </cell>
          <cell r="AF144">
            <v>2963</v>
          </cell>
          <cell r="AH144">
            <v>2507</v>
          </cell>
          <cell r="AN144">
            <v>2828</v>
          </cell>
          <cell r="AS144">
            <v>2218</v>
          </cell>
          <cell r="BI144">
            <v>2756</v>
          </cell>
          <cell r="DN144">
            <v>306241</v>
          </cell>
          <cell r="DO144">
            <v>144</v>
          </cell>
        </row>
        <row r="145">
          <cell r="A145" t="str">
            <v>Greensboro-High Point, NC Metro Area</v>
          </cell>
          <cell r="B145">
            <v>10636</v>
          </cell>
          <cell r="C145">
            <v>29494</v>
          </cell>
          <cell r="D145">
            <v>31745</v>
          </cell>
          <cell r="E145">
            <v>65514</v>
          </cell>
          <cell r="F145">
            <v>45056</v>
          </cell>
          <cell r="G145">
            <v>52387</v>
          </cell>
          <cell r="H145">
            <v>44685</v>
          </cell>
          <cell r="I145">
            <v>18327</v>
          </cell>
          <cell r="J145">
            <v>25916</v>
          </cell>
          <cell r="K145">
            <v>14130</v>
          </cell>
          <cell r="L145">
            <v>35525</v>
          </cell>
          <cell r="M145">
            <v>11447</v>
          </cell>
          <cell r="N145">
            <v>36880</v>
          </cell>
          <cell r="O145">
            <v>37914</v>
          </cell>
          <cell r="P145">
            <v>36590</v>
          </cell>
          <cell r="Q145">
            <v>19833</v>
          </cell>
          <cell r="R145">
            <v>5944</v>
          </cell>
          <cell r="S145">
            <v>14025</v>
          </cell>
          <cell r="T145">
            <v>13788</v>
          </cell>
          <cell r="U145">
            <v>26286</v>
          </cell>
          <cell r="V145">
            <v>6079</v>
          </cell>
          <cell r="W145">
            <v>16960</v>
          </cell>
          <cell r="X145">
            <v>10694</v>
          </cell>
          <cell r="Y145">
            <v>13044</v>
          </cell>
          <cell r="Z145">
            <v>8726</v>
          </cell>
          <cell r="AA145">
            <v>12322</v>
          </cell>
          <cell r="AB145">
            <v>16529</v>
          </cell>
          <cell r="AC145">
            <v>7347</v>
          </cell>
          <cell r="AD145">
            <v>18438</v>
          </cell>
          <cell r="AE145">
            <v>7584</v>
          </cell>
          <cell r="AF145">
            <v>10020</v>
          </cell>
          <cell r="AG145">
            <v>3949</v>
          </cell>
          <cell r="AH145">
            <v>3686</v>
          </cell>
          <cell r="AI145">
            <v>6011</v>
          </cell>
          <cell r="AJ145">
            <v>6290</v>
          </cell>
          <cell r="DN145">
            <v>723801</v>
          </cell>
          <cell r="DO145">
            <v>145</v>
          </cell>
        </row>
        <row r="146">
          <cell r="A146" t="str">
            <v>Greenville, NC Metro Area</v>
          </cell>
          <cell r="B146">
            <v>15643</v>
          </cell>
          <cell r="C146">
            <v>10543</v>
          </cell>
          <cell r="D146">
            <v>40089</v>
          </cell>
          <cell r="F146">
            <v>22531</v>
          </cell>
          <cell r="G146">
            <v>21340</v>
          </cell>
          <cell r="H146">
            <v>13915</v>
          </cell>
          <cell r="I146">
            <v>8052</v>
          </cell>
          <cell r="K146">
            <v>11073</v>
          </cell>
          <cell r="L146">
            <v>10047</v>
          </cell>
          <cell r="M146">
            <v>2591</v>
          </cell>
          <cell r="N146">
            <v>9009</v>
          </cell>
          <cell r="Q146">
            <v>5260</v>
          </cell>
          <cell r="R146">
            <v>3315</v>
          </cell>
          <cell r="S146">
            <v>4018</v>
          </cell>
          <cell r="V146">
            <v>7380</v>
          </cell>
          <cell r="AA146">
            <v>4704</v>
          </cell>
          <cell r="DN146">
            <v>189510</v>
          </cell>
          <cell r="DO146">
            <v>146</v>
          </cell>
        </row>
        <row r="147">
          <cell r="A147" t="str">
            <v>Greenville-Mauldin-Easley, SC Metro Area</v>
          </cell>
          <cell r="B147">
            <v>9552</v>
          </cell>
          <cell r="C147">
            <v>20627</v>
          </cell>
          <cell r="D147">
            <v>41551</v>
          </cell>
          <cell r="E147">
            <v>40445</v>
          </cell>
          <cell r="F147">
            <v>25974</v>
          </cell>
          <cell r="G147">
            <v>39970</v>
          </cell>
          <cell r="H147">
            <v>40620</v>
          </cell>
          <cell r="I147">
            <v>45403</v>
          </cell>
          <cell r="J147">
            <v>20613</v>
          </cell>
          <cell r="K147">
            <v>48720</v>
          </cell>
          <cell r="L147">
            <v>49321</v>
          </cell>
          <cell r="M147">
            <v>20645</v>
          </cell>
          <cell r="N147">
            <v>41397</v>
          </cell>
          <cell r="O147">
            <v>22653</v>
          </cell>
          <cell r="P147">
            <v>5398</v>
          </cell>
          <cell r="Q147">
            <v>12827</v>
          </cell>
          <cell r="R147">
            <v>11616</v>
          </cell>
          <cell r="S147">
            <v>26234</v>
          </cell>
          <cell r="U147">
            <v>6678</v>
          </cell>
          <cell r="V147">
            <v>9758</v>
          </cell>
          <cell r="W147">
            <v>1209</v>
          </cell>
          <cell r="Y147">
            <v>19009</v>
          </cell>
          <cell r="Z147">
            <v>6806</v>
          </cell>
          <cell r="AA147">
            <v>6122</v>
          </cell>
          <cell r="AB147">
            <v>7937</v>
          </cell>
          <cell r="AC147">
            <v>8924</v>
          </cell>
          <cell r="AF147">
            <v>5433</v>
          </cell>
          <cell r="AG147">
            <v>6104</v>
          </cell>
          <cell r="AH147">
            <v>5140</v>
          </cell>
          <cell r="AJ147">
            <v>4404</v>
          </cell>
          <cell r="AK147">
            <v>3284</v>
          </cell>
          <cell r="AN147">
            <v>4826</v>
          </cell>
          <cell r="AO147">
            <v>4700</v>
          </cell>
          <cell r="AP147">
            <v>7992</v>
          </cell>
          <cell r="AU147">
            <v>5094</v>
          </cell>
          <cell r="DN147">
            <v>636986</v>
          </cell>
          <cell r="DO147">
            <v>147</v>
          </cell>
        </row>
        <row r="148">
          <cell r="A148" t="str">
            <v>Gulfport-Biloxi, MS Metro Area</v>
          </cell>
          <cell r="B148">
            <v>5353</v>
          </cell>
          <cell r="C148">
            <v>7754</v>
          </cell>
          <cell r="D148">
            <v>8752</v>
          </cell>
          <cell r="E148">
            <v>10833</v>
          </cell>
          <cell r="F148">
            <v>19622</v>
          </cell>
          <cell r="G148">
            <v>12494</v>
          </cell>
          <cell r="H148">
            <v>23628</v>
          </cell>
          <cell r="I148">
            <v>3056</v>
          </cell>
          <cell r="J148">
            <v>24890</v>
          </cell>
          <cell r="K148">
            <v>10791</v>
          </cell>
          <cell r="L148">
            <v>13918</v>
          </cell>
          <cell r="M148">
            <v>13434</v>
          </cell>
          <cell r="N148">
            <v>11552</v>
          </cell>
          <cell r="O148">
            <v>255</v>
          </cell>
          <cell r="P148">
            <v>5920</v>
          </cell>
          <cell r="Q148">
            <v>19361</v>
          </cell>
          <cell r="R148">
            <v>8425</v>
          </cell>
          <cell r="T148">
            <v>15083</v>
          </cell>
          <cell r="V148">
            <v>6457</v>
          </cell>
          <cell r="AA148">
            <v>7143</v>
          </cell>
          <cell r="AD148">
            <v>2313</v>
          </cell>
          <cell r="AE148">
            <v>7204</v>
          </cell>
          <cell r="AF148">
            <v>6753</v>
          </cell>
          <cell r="AI148">
            <v>3829</v>
          </cell>
          <cell r="DN148">
            <v>248820</v>
          </cell>
          <cell r="DO148">
            <v>148</v>
          </cell>
        </row>
        <row r="149">
          <cell r="A149" t="str">
            <v>Hagerstown-Martinsburg, MD-WV Metro Area</v>
          </cell>
          <cell r="B149">
            <v>19465</v>
          </cell>
          <cell r="C149">
            <v>17286</v>
          </cell>
          <cell r="D149">
            <v>19802</v>
          </cell>
          <cell r="E149">
            <v>23353</v>
          </cell>
          <cell r="G149">
            <v>19338</v>
          </cell>
          <cell r="H149">
            <v>16520</v>
          </cell>
          <cell r="I149">
            <v>5195</v>
          </cell>
          <cell r="K149">
            <v>5701</v>
          </cell>
          <cell r="L149">
            <v>13168</v>
          </cell>
          <cell r="N149">
            <v>5033</v>
          </cell>
          <cell r="O149">
            <v>4284</v>
          </cell>
          <cell r="P149">
            <v>8006</v>
          </cell>
          <cell r="Q149">
            <v>8363</v>
          </cell>
          <cell r="R149">
            <v>18727</v>
          </cell>
          <cell r="T149">
            <v>8206</v>
          </cell>
          <cell r="U149">
            <v>23017</v>
          </cell>
          <cell r="X149">
            <v>16234</v>
          </cell>
          <cell r="AA149">
            <v>3447</v>
          </cell>
          <cell r="AB149">
            <v>21454</v>
          </cell>
          <cell r="AD149">
            <v>4924</v>
          </cell>
          <cell r="AF149">
            <v>5055</v>
          </cell>
          <cell r="AK149">
            <v>2562</v>
          </cell>
          <cell r="DN149">
            <v>269140</v>
          </cell>
          <cell r="DO149">
            <v>149</v>
          </cell>
        </row>
        <row r="150">
          <cell r="A150" t="str">
            <v>Hanford-Corcoran, CA Metro Area</v>
          </cell>
          <cell r="B150">
            <v>8057</v>
          </cell>
          <cell r="C150">
            <v>30152</v>
          </cell>
          <cell r="D150">
            <v>21018</v>
          </cell>
          <cell r="E150">
            <v>5476</v>
          </cell>
          <cell r="F150">
            <v>2507</v>
          </cell>
          <cell r="G150">
            <v>3457</v>
          </cell>
          <cell r="I150">
            <v>11562</v>
          </cell>
          <cell r="J150">
            <v>15071</v>
          </cell>
          <cell r="L150">
            <v>2271</v>
          </cell>
          <cell r="P150">
            <v>7446</v>
          </cell>
          <cell r="R150">
            <v>10764</v>
          </cell>
          <cell r="S150">
            <v>7518</v>
          </cell>
          <cell r="U150">
            <v>12118</v>
          </cell>
          <cell r="AK150">
            <v>9142</v>
          </cell>
          <cell r="AL150">
            <v>6423</v>
          </cell>
          <cell r="DN150">
            <v>152982</v>
          </cell>
          <cell r="DO150">
            <v>150</v>
          </cell>
        </row>
        <row r="151">
          <cell r="A151" t="str">
            <v>Harrisburg-Carlisle, PA Metro Area</v>
          </cell>
          <cell r="B151">
            <v>15667</v>
          </cell>
          <cell r="C151">
            <v>42835</v>
          </cell>
          <cell r="D151">
            <v>43203</v>
          </cell>
          <cell r="E151">
            <v>29626</v>
          </cell>
          <cell r="F151">
            <v>44122</v>
          </cell>
          <cell r="G151">
            <v>36256</v>
          </cell>
          <cell r="H151">
            <v>40721</v>
          </cell>
          <cell r="I151">
            <v>25104</v>
          </cell>
          <cell r="J151">
            <v>30228</v>
          </cell>
          <cell r="K151">
            <v>34811</v>
          </cell>
          <cell r="M151">
            <v>24310</v>
          </cell>
          <cell r="N151">
            <v>8564</v>
          </cell>
          <cell r="O151">
            <v>18443</v>
          </cell>
          <cell r="P151">
            <v>4728</v>
          </cell>
          <cell r="Q151">
            <v>21328</v>
          </cell>
          <cell r="R151">
            <v>14390</v>
          </cell>
          <cell r="S151">
            <v>18320</v>
          </cell>
          <cell r="T151">
            <v>8666</v>
          </cell>
          <cell r="U151">
            <v>8503</v>
          </cell>
          <cell r="V151">
            <v>12856</v>
          </cell>
          <cell r="W151">
            <v>5223</v>
          </cell>
          <cell r="Y151">
            <v>7861</v>
          </cell>
          <cell r="AA151">
            <v>8677</v>
          </cell>
          <cell r="AB151">
            <v>17324</v>
          </cell>
          <cell r="AC151">
            <v>4486</v>
          </cell>
          <cell r="AD151">
            <v>1316</v>
          </cell>
          <cell r="AG151">
            <v>3038</v>
          </cell>
          <cell r="AJ151">
            <v>9116</v>
          </cell>
          <cell r="AL151">
            <v>9753</v>
          </cell>
          <cell r="DN151">
            <v>549475</v>
          </cell>
          <cell r="DO151">
            <v>151</v>
          </cell>
        </row>
        <row r="152">
          <cell r="A152" t="str">
            <v>Harrisonburg, VA Metro Area</v>
          </cell>
          <cell r="B152">
            <v>14056</v>
          </cell>
          <cell r="C152">
            <v>26665</v>
          </cell>
          <cell r="D152">
            <v>8193</v>
          </cell>
          <cell r="E152">
            <v>7948</v>
          </cell>
          <cell r="F152">
            <v>3236</v>
          </cell>
          <cell r="G152">
            <v>11484</v>
          </cell>
          <cell r="H152">
            <v>9078</v>
          </cell>
          <cell r="I152">
            <v>5170</v>
          </cell>
          <cell r="K152">
            <v>9742</v>
          </cell>
          <cell r="L152">
            <v>5849</v>
          </cell>
          <cell r="N152">
            <v>11425</v>
          </cell>
          <cell r="P152">
            <v>6767</v>
          </cell>
          <cell r="Q152">
            <v>2581</v>
          </cell>
          <cell r="R152">
            <v>3034</v>
          </cell>
          <cell r="DN152">
            <v>125228</v>
          </cell>
          <cell r="DO152">
            <v>152</v>
          </cell>
        </row>
        <row r="153">
          <cell r="A153" t="str">
            <v>Hartford-West Hartford-East Hartford, CT Metro Area</v>
          </cell>
          <cell r="B153">
            <v>17550</v>
          </cell>
          <cell r="C153">
            <v>82667</v>
          </cell>
          <cell r="D153">
            <v>58664</v>
          </cell>
          <cell r="E153">
            <v>53226</v>
          </cell>
          <cell r="F153">
            <v>65452</v>
          </cell>
          <cell r="G153">
            <v>36719</v>
          </cell>
          <cell r="H153">
            <v>63851</v>
          </cell>
          <cell r="I153">
            <v>78339</v>
          </cell>
          <cell r="J153">
            <v>65328</v>
          </cell>
          <cell r="K153">
            <v>55355</v>
          </cell>
          <cell r="L153">
            <v>63416</v>
          </cell>
          <cell r="M153">
            <v>46275</v>
          </cell>
          <cell r="N153">
            <v>77149</v>
          </cell>
          <cell r="O153">
            <v>60713</v>
          </cell>
          <cell r="P153">
            <v>63689</v>
          </cell>
          <cell r="Q153">
            <v>67759</v>
          </cell>
          <cell r="R153">
            <v>47134</v>
          </cell>
          <cell r="S153">
            <v>44054</v>
          </cell>
          <cell r="T153">
            <v>21217</v>
          </cell>
          <cell r="U153">
            <v>15115</v>
          </cell>
          <cell r="V153">
            <v>19630</v>
          </cell>
          <cell r="W153">
            <v>18635</v>
          </cell>
          <cell r="X153">
            <v>22621</v>
          </cell>
          <cell r="Y153">
            <v>3858</v>
          </cell>
          <cell r="Z153">
            <v>4119</v>
          </cell>
          <cell r="AA153">
            <v>3697</v>
          </cell>
          <cell r="AB153">
            <v>7872</v>
          </cell>
          <cell r="AC153">
            <v>6525</v>
          </cell>
          <cell r="AE153">
            <v>4629</v>
          </cell>
          <cell r="AG153">
            <v>6683</v>
          </cell>
          <cell r="AH153">
            <v>7598</v>
          </cell>
          <cell r="AJ153">
            <v>17448</v>
          </cell>
          <cell r="AL153">
            <v>5394</v>
          </cell>
          <cell r="DN153">
            <v>1212381</v>
          </cell>
          <cell r="DO153">
            <v>153</v>
          </cell>
        </row>
        <row r="154">
          <cell r="A154" t="str">
            <v>Hattiesburg, MS Metro Area</v>
          </cell>
          <cell r="B154">
            <v>6423</v>
          </cell>
          <cell r="C154">
            <v>14217</v>
          </cell>
          <cell r="D154">
            <v>10735</v>
          </cell>
          <cell r="E154">
            <v>17599</v>
          </cell>
          <cell r="F154">
            <v>17058</v>
          </cell>
          <cell r="G154">
            <v>11801</v>
          </cell>
          <cell r="H154">
            <v>6153</v>
          </cell>
          <cell r="J154">
            <v>14554</v>
          </cell>
          <cell r="P154">
            <v>14494</v>
          </cell>
          <cell r="Q154">
            <v>7635</v>
          </cell>
          <cell r="R154">
            <v>3877</v>
          </cell>
          <cell r="S154">
            <v>6370</v>
          </cell>
          <cell r="T154">
            <v>4701</v>
          </cell>
          <cell r="Y154">
            <v>7225</v>
          </cell>
          <cell r="DN154">
            <v>142842</v>
          </cell>
          <cell r="DO154">
            <v>154</v>
          </cell>
        </row>
        <row r="155">
          <cell r="A155" t="str">
            <v>Hickory-Lenoir-Morganton, NC Metro Area</v>
          </cell>
          <cell r="B155">
            <v>3762</v>
          </cell>
          <cell r="C155">
            <v>15122</v>
          </cell>
          <cell r="D155">
            <v>11663</v>
          </cell>
          <cell r="E155">
            <v>23407</v>
          </cell>
          <cell r="F155">
            <v>10458</v>
          </cell>
          <cell r="G155">
            <v>19133</v>
          </cell>
          <cell r="H155">
            <v>22870</v>
          </cell>
          <cell r="I155">
            <v>16085</v>
          </cell>
          <cell r="J155">
            <v>18484</v>
          </cell>
          <cell r="K155">
            <v>9145</v>
          </cell>
          <cell r="L155">
            <v>14636</v>
          </cell>
          <cell r="M155">
            <v>31752</v>
          </cell>
          <cell r="N155">
            <v>15446</v>
          </cell>
          <cell r="O155">
            <v>9308</v>
          </cell>
          <cell r="P155">
            <v>12003</v>
          </cell>
          <cell r="Q155">
            <v>21859</v>
          </cell>
          <cell r="R155">
            <v>19737</v>
          </cell>
          <cell r="S155">
            <v>9473</v>
          </cell>
          <cell r="T155">
            <v>11524</v>
          </cell>
          <cell r="U155">
            <v>14615</v>
          </cell>
          <cell r="V155">
            <v>16610</v>
          </cell>
          <cell r="W155">
            <v>12622</v>
          </cell>
          <cell r="X155">
            <v>4287</v>
          </cell>
          <cell r="Z155">
            <v>10645</v>
          </cell>
          <cell r="AB155">
            <v>4898</v>
          </cell>
          <cell r="AC155">
            <v>5953</v>
          </cell>
          <cell r="DN155">
            <v>365497</v>
          </cell>
          <cell r="DO155">
            <v>155</v>
          </cell>
        </row>
        <row r="156">
          <cell r="A156" t="str">
            <v>Hinesville-Fort Stewart, GA Metro Area</v>
          </cell>
          <cell r="B156">
            <v>6718</v>
          </cell>
          <cell r="C156">
            <v>12662</v>
          </cell>
          <cell r="D156">
            <v>12808</v>
          </cell>
          <cell r="E156">
            <v>17222</v>
          </cell>
          <cell r="G156">
            <v>3252</v>
          </cell>
          <cell r="K156">
            <v>5109</v>
          </cell>
          <cell r="L156">
            <v>16344</v>
          </cell>
          <cell r="P156">
            <v>3802</v>
          </cell>
          <cell r="DN156">
            <v>77917</v>
          </cell>
          <cell r="DO156">
            <v>156</v>
          </cell>
        </row>
        <row r="157">
          <cell r="A157" t="str">
            <v>Holland-Grand Haven, MI Metro Area</v>
          </cell>
          <cell r="B157">
            <v>18493</v>
          </cell>
          <cell r="C157">
            <v>6974</v>
          </cell>
          <cell r="D157">
            <v>21595</v>
          </cell>
          <cell r="E157">
            <v>26104</v>
          </cell>
          <cell r="F157">
            <v>9946</v>
          </cell>
          <cell r="G157">
            <v>1492</v>
          </cell>
          <cell r="H157">
            <v>7673</v>
          </cell>
          <cell r="I157">
            <v>4157</v>
          </cell>
          <cell r="J157">
            <v>11347</v>
          </cell>
          <cell r="N157">
            <v>6485</v>
          </cell>
          <cell r="O157">
            <v>15948</v>
          </cell>
          <cell r="P157">
            <v>22517</v>
          </cell>
          <cell r="Q157">
            <v>19146</v>
          </cell>
          <cell r="R157">
            <v>26528</v>
          </cell>
          <cell r="S157">
            <v>8859</v>
          </cell>
          <cell r="T157">
            <v>6182</v>
          </cell>
          <cell r="U157">
            <v>19677</v>
          </cell>
          <cell r="V157">
            <v>11766</v>
          </cell>
          <cell r="W157">
            <v>7457</v>
          </cell>
          <cell r="X157">
            <v>6291</v>
          </cell>
          <cell r="AA157">
            <v>5164</v>
          </cell>
          <cell r="DN157">
            <v>263801</v>
          </cell>
          <cell r="DO157">
            <v>157</v>
          </cell>
        </row>
        <row r="158">
          <cell r="A158" t="str">
            <v>Honolulu, HI Metro Area</v>
          </cell>
          <cell r="B158">
            <v>39635</v>
          </cell>
          <cell r="C158">
            <v>85251</v>
          </cell>
          <cell r="D158">
            <v>77932</v>
          </cell>
          <cell r="E158">
            <v>71140</v>
          </cell>
          <cell r="F158">
            <v>53497</v>
          </cell>
          <cell r="G158">
            <v>24321</v>
          </cell>
          <cell r="H158">
            <v>29516</v>
          </cell>
          <cell r="I158">
            <v>50082</v>
          </cell>
          <cell r="J158">
            <v>51448</v>
          </cell>
          <cell r="K158">
            <v>89795</v>
          </cell>
          <cell r="L158">
            <v>76288</v>
          </cell>
          <cell r="M158">
            <v>60803</v>
          </cell>
          <cell r="N158">
            <v>25361</v>
          </cell>
          <cell r="O158">
            <v>42818</v>
          </cell>
          <cell r="P158">
            <v>39439</v>
          </cell>
          <cell r="Q158">
            <v>8577</v>
          </cell>
          <cell r="R158">
            <v>22631</v>
          </cell>
          <cell r="S158">
            <v>10006</v>
          </cell>
          <cell r="T158">
            <v>19096</v>
          </cell>
          <cell r="U158">
            <v>11564</v>
          </cell>
          <cell r="V158">
            <v>3320</v>
          </cell>
          <cell r="W158">
            <v>13355</v>
          </cell>
          <cell r="X158">
            <v>6227</v>
          </cell>
          <cell r="Y158">
            <v>14278</v>
          </cell>
          <cell r="Z158">
            <v>3740</v>
          </cell>
          <cell r="AA158">
            <v>15206</v>
          </cell>
          <cell r="AB158">
            <v>7881</v>
          </cell>
          <cell r="DL158">
            <v>0</v>
          </cell>
          <cell r="DN158">
            <v>953207</v>
          </cell>
          <cell r="DO158">
            <v>158</v>
          </cell>
        </row>
        <row r="159">
          <cell r="A159" t="str">
            <v>Hot Springs, AR Metro Area</v>
          </cell>
          <cell r="B159">
            <v>4890</v>
          </cell>
          <cell r="C159">
            <v>9357</v>
          </cell>
          <cell r="D159">
            <v>13852</v>
          </cell>
          <cell r="E159">
            <v>9229</v>
          </cell>
          <cell r="F159">
            <v>4263</v>
          </cell>
          <cell r="G159">
            <v>4979</v>
          </cell>
          <cell r="H159">
            <v>26609</v>
          </cell>
          <cell r="J159">
            <v>5727</v>
          </cell>
          <cell r="L159">
            <v>3527</v>
          </cell>
          <cell r="M159">
            <v>8799</v>
          </cell>
          <cell r="N159">
            <v>4792</v>
          </cell>
          <cell r="DN159">
            <v>96024</v>
          </cell>
          <cell r="DO159">
            <v>159</v>
          </cell>
        </row>
        <row r="160">
          <cell r="A160" t="str">
            <v>Houma-Bayou Cane-Thibodaux, LA Metro Area</v>
          </cell>
          <cell r="B160">
            <v>10886</v>
          </cell>
          <cell r="C160">
            <v>23983</v>
          </cell>
          <cell r="D160">
            <v>17909</v>
          </cell>
          <cell r="E160">
            <v>6771</v>
          </cell>
          <cell r="F160">
            <v>7206</v>
          </cell>
          <cell r="G160">
            <v>9949</v>
          </cell>
          <cell r="H160">
            <v>6108</v>
          </cell>
          <cell r="I160">
            <v>7695</v>
          </cell>
          <cell r="J160">
            <v>14481</v>
          </cell>
          <cell r="K160">
            <v>7138</v>
          </cell>
          <cell r="L160">
            <v>5117</v>
          </cell>
          <cell r="M160">
            <v>6137</v>
          </cell>
          <cell r="N160">
            <v>9954</v>
          </cell>
          <cell r="O160">
            <v>4013</v>
          </cell>
          <cell r="P160">
            <v>27027</v>
          </cell>
          <cell r="Q160">
            <v>7389</v>
          </cell>
          <cell r="R160">
            <v>3136</v>
          </cell>
          <cell r="S160">
            <v>3820</v>
          </cell>
          <cell r="U160">
            <v>5252</v>
          </cell>
          <cell r="V160">
            <v>5138</v>
          </cell>
          <cell r="Y160">
            <v>4198</v>
          </cell>
          <cell r="AA160">
            <v>7484</v>
          </cell>
          <cell r="AC160">
            <v>4709</v>
          </cell>
          <cell r="AF160">
            <v>2678</v>
          </cell>
          <cell r="DN160">
            <v>208178</v>
          </cell>
          <cell r="DO160">
            <v>160</v>
          </cell>
        </row>
        <row r="161">
          <cell r="A161" t="str">
            <v>Houston-Sugar Land-Baytown, TX Metro Area</v>
          </cell>
          <cell r="B161">
            <v>23483</v>
          </cell>
          <cell r="C161">
            <v>52197</v>
          </cell>
          <cell r="D161">
            <v>94301</v>
          </cell>
          <cell r="E161">
            <v>92048</v>
          </cell>
          <cell r="F161">
            <v>117613</v>
          </cell>
          <cell r="G161">
            <v>142260</v>
          </cell>
          <cell r="H161">
            <v>172299</v>
          </cell>
          <cell r="I161">
            <v>183659</v>
          </cell>
          <cell r="J161">
            <v>221251</v>
          </cell>
          <cell r="K161">
            <v>184982</v>
          </cell>
          <cell r="L161">
            <v>281096</v>
          </cell>
          <cell r="M161">
            <v>261615</v>
          </cell>
          <cell r="N161">
            <v>208760</v>
          </cell>
          <cell r="O161">
            <v>264962</v>
          </cell>
          <cell r="P161">
            <v>224250</v>
          </cell>
          <cell r="Q161">
            <v>259127</v>
          </cell>
          <cell r="R161">
            <v>198305</v>
          </cell>
          <cell r="S161">
            <v>195243</v>
          </cell>
          <cell r="T161">
            <v>242361</v>
          </cell>
          <cell r="U161">
            <v>236405</v>
          </cell>
          <cell r="V161">
            <v>216116</v>
          </cell>
          <cell r="W161">
            <v>216982</v>
          </cell>
          <cell r="X161">
            <v>199655</v>
          </cell>
          <cell r="Y161">
            <v>196288</v>
          </cell>
          <cell r="Z161">
            <v>179106</v>
          </cell>
          <cell r="AA161">
            <v>153633</v>
          </cell>
          <cell r="AB161">
            <v>80188</v>
          </cell>
          <cell r="AC161">
            <v>80390</v>
          </cell>
          <cell r="AD161">
            <v>84278</v>
          </cell>
          <cell r="AE161">
            <v>51401</v>
          </cell>
          <cell r="AF161">
            <v>23304</v>
          </cell>
          <cell r="AG161">
            <v>86066</v>
          </cell>
          <cell r="AH161">
            <v>41316</v>
          </cell>
          <cell r="AI161">
            <v>56402</v>
          </cell>
          <cell r="AJ161">
            <v>38293</v>
          </cell>
          <cell r="AK161">
            <v>28938</v>
          </cell>
          <cell r="AL161">
            <v>37975</v>
          </cell>
          <cell r="AM161">
            <v>47704</v>
          </cell>
          <cell r="AN161">
            <v>38616</v>
          </cell>
          <cell r="AO161">
            <v>45536</v>
          </cell>
          <cell r="AP161">
            <v>13980</v>
          </cell>
          <cell r="AQ161">
            <v>41795</v>
          </cell>
          <cell r="AR161">
            <v>11534</v>
          </cell>
          <cell r="AS161">
            <v>29636</v>
          </cell>
          <cell r="AT161">
            <v>17032</v>
          </cell>
          <cell r="AU161">
            <v>32590</v>
          </cell>
          <cell r="AV161">
            <v>25534</v>
          </cell>
          <cell r="AW161">
            <v>64271</v>
          </cell>
          <cell r="AX161">
            <v>13540</v>
          </cell>
          <cell r="AY161">
            <v>32346</v>
          </cell>
          <cell r="AZ161">
            <v>32309</v>
          </cell>
          <cell r="BA161">
            <v>2324</v>
          </cell>
          <cell r="BB161">
            <v>3272</v>
          </cell>
          <cell r="BC161">
            <v>17977</v>
          </cell>
          <cell r="BD161">
            <v>5445</v>
          </cell>
          <cell r="BE161">
            <v>11261</v>
          </cell>
          <cell r="BF161">
            <v>10775</v>
          </cell>
          <cell r="BG161">
            <v>2862</v>
          </cell>
          <cell r="BI161">
            <v>6274</v>
          </cell>
          <cell r="BJ161">
            <v>5001</v>
          </cell>
          <cell r="BP161">
            <v>3660</v>
          </cell>
          <cell r="BS161">
            <v>4978</v>
          </cell>
          <cell r="DN161">
            <v>5946800</v>
          </cell>
          <cell r="DO161">
            <v>161</v>
          </cell>
        </row>
        <row r="162">
          <cell r="A162" t="str">
            <v>Huntington-Ashland, WV-KY-OH Metro Area</v>
          </cell>
          <cell r="B162">
            <v>11605</v>
          </cell>
          <cell r="C162">
            <v>18437</v>
          </cell>
          <cell r="D162">
            <v>16409</v>
          </cell>
          <cell r="E162">
            <v>13064</v>
          </cell>
          <cell r="F162">
            <v>11053</v>
          </cell>
          <cell r="G162">
            <v>17415</v>
          </cell>
          <cell r="H162">
            <v>9717</v>
          </cell>
          <cell r="I162">
            <v>9336</v>
          </cell>
          <cell r="J162">
            <v>15444</v>
          </cell>
          <cell r="K162">
            <v>11809</v>
          </cell>
          <cell r="L162">
            <v>16700</v>
          </cell>
          <cell r="M162">
            <v>22258</v>
          </cell>
          <cell r="N162">
            <v>3916</v>
          </cell>
          <cell r="O162">
            <v>19497</v>
          </cell>
          <cell r="P162">
            <v>23439</v>
          </cell>
          <cell r="Q162">
            <v>8592</v>
          </cell>
          <cell r="R162">
            <v>10477</v>
          </cell>
          <cell r="S162">
            <v>5866</v>
          </cell>
          <cell r="T162">
            <v>8999</v>
          </cell>
          <cell r="U162">
            <v>9675</v>
          </cell>
          <cell r="X162">
            <v>5866</v>
          </cell>
          <cell r="Z162">
            <v>4882</v>
          </cell>
          <cell r="AE162">
            <v>3120</v>
          </cell>
          <cell r="AH162">
            <v>3691</v>
          </cell>
          <cell r="AI162">
            <v>3398</v>
          </cell>
          <cell r="AK162">
            <v>3037</v>
          </cell>
          <cell r="DN162">
            <v>287702</v>
          </cell>
          <cell r="DO162">
            <v>162</v>
          </cell>
        </row>
        <row r="163">
          <cell r="A163" t="str">
            <v>Huntsville, AL Metro Area</v>
          </cell>
          <cell r="B163">
            <v>2982</v>
          </cell>
          <cell r="C163">
            <v>18870</v>
          </cell>
          <cell r="D163">
            <v>40316</v>
          </cell>
          <cell r="E163">
            <v>34083</v>
          </cell>
          <cell r="F163">
            <v>10190</v>
          </cell>
          <cell r="G163">
            <v>26616</v>
          </cell>
          <cell r="H163">
            <v>18406</v>
          </cell>
          <cell r="I163">
            <v>37466</v>
          </cell>
          <cell r="J163">
            <v>23053</v>
          </cell>
          <cell r="K163">
            <v>40535</v>
          </cell>
          <cell r="L163">
            <v>15949</v>
          </cell>
          <cell r="M163">
            <v>22653</v>
          </cell>
          <cell r="N163">
            <v>14597</v>
          </cell>
          <cell r="O163">
            <v>9438</v>
          </cell>
          <cell r="P163">
            <v>8125</v>
          </cell>
          <cell r="Q163">
            <v>26864</v>
          </cell>
          <cell r="R163">
            <v>10366</v>
          </cell>
          <cell r="T163">
            <v>4257</v>
          </cell>
          <cell r="W163">
            <v>12134</v>
          </cell>
          <cell r="X163">
            <v>9023</v>
          </cell>
          <cell r="Y163">
            <v>6945</v>
          </cell>
          <cell r="Z163">
            <v>4820</v>
          </cell>
          <cell r="AA163">
            <v>4957</v>
          </cell>
          <cell r="AB163">
            <v>5404</v>
          </cell>
          <cell r="AG163">
            <v>5961</v>
          </cell>
          <cell r="AJ163">
            <v>3583</v>
          </cell>
          <cell r="DN163">
            <v>417593</v>
          </cell>
          <cell r="DO163">
            <v>163</v>
          </cell>
        </row>
        <row r="164">
          <cell r="A164" t="str">
            <v>Idaho Falls, ID Metro Area</v>
          </cell>
          <cell r="B164">
            <v>8415</v>
          </cell>
          <cell r="C164">
            <v>30525</v>
          </cell>
          <cell r="D164">
            <v>18924</v>
          </cell>
          <cell r="E164">
            <v>2271</v>
          </cell>
          <cell r="F164">
            <v>27606</v>
          </cell>
          <cell r="G164">
            <v>5243</v>
          </cell>
          <cell r="J164">
            <v>6125</v>
          </cell>
          <cell r="M164">
            <v>5125</v>
          </cell>
          <cell r="O164">
            <v>7143</v>
          </cell>
          <cell r="P164">
            <v>15008</v>
          </cell>
          <cell r="AA164">
            <v>3989</v>
          </cell>
          <cell r="DN164">
            <v>130374</v>
          </cell>
          <cell r="DO164">
            <v>164</v>
          </cell>
        </row>
        <row r="165">
          <cell r="A165" t="str">
            <v>Indianapolis-Carmel, IN Metro Area</v>
          </cell>
          <cell r="B165">
            <v>14058</v>
          </cell>
          <cell r="C165">
            <v>31021</v>
          </cell>
          <cell r="D165">
            <v>57333</v>
          </cell>
          <cell r="E165">
            <v>63814</v>
          </cell>
          <cell r="F165">
            <v>74744</v>
          </cell>
          <cell r="G165">
            <v>79949</v>
          </cell>
          <cell r="H165">
            <v>105657</v>
          </cell>
          <cell r="I165">
            <v>123492</v>
          </cell>
          <cell r="J165">
            <v>149930</v>
          </cell>
          <cell r="K165">
            <v>85699</v>
          </cell>
          <cell r="L165">
            <v>85353</v>
          </cell>
          <cell r="M165">
            <v>83523</v>
          </cell>
          <cell r="N165">
            <v>79605</v>
          </cell>
          <cell r="O165">
            <v>92653</v>
          </cell>
          <cell r="P165">
            <v>67579</v>
          </cell>
          <cell r="Q165">
            <v>102330</v>
          </cell>
          <cell r="R165">
            <v>13831</v>
          </cell>
          <cell r="S165">
            <v>61593</v>
          </cell>
          <cell r="T165">
            <v>41333</v>
          </cell>
          <cell r="U165">
            <v>45060</v>
          </cell>
          <cell r="V165">
            <v>53118</v>
          </cell>
          <cell r="W165">
            <v>23792</v>
          </cell>
          <cell r="X165">
            <v>17252</v>
          </cell>
          <cell r="Y165">
            <v>27684</v>
          </cell>
          <cell r="Z165">
            <v>9518</v>
          </cell>
          <cell r="AA165">
            <v>19654</v>
          </cell>
          <cell r="AB165">
            <v>41497</v>
          </cell>
          <cell r="AC165">
            <v>16094</v>
          </cell>
          <cell r="AD165">
            <v>12830</v>
          </cell>
          <cell r="AE165">
            <v>3489</v>
          </cell>
          <cell r="AF165">
            <v>11277</v>
          </cell>
          <cell r="AG165">
            <v>14602</v>
          </cell>
          <cell r="AI165">
            <v>7086</v>
          </cell>
          <cell r="AL165">
            <v>7426</v>
          </cell>
          <cell r="AM165">
            <v>13347</v>
          </cell>
          <cell r="AN165">
            <v>5339</v>
          </cell>
          <cell r="AQ165">
            <v>2635</v>
          </cell>
          <cell r="AR165">
            <v>11044</v>
          </cell>
          <cell r="DN165">
            <v>1756241</v>
          </cell>
          <cell r="DO165">
            <v>165</v>
          </cell>
        </row>
        <row r="166">
          <cell r="A166" t="str">
            <v>Iowa City, IA Metro Area</v>
          </cell>
          <cell r="B166">
            <v>21423</v>
          </cell>
          <cell r="C166">
            <v>28689</v>
          </cell>
          <cell r="D166">
            <v>19050</v>
          </cell>
          <cell r="E166">
            <v>5465</v>
          </cell>
          <cell r="F166">
            <v>9143</v>
          </cell>
          <cell r="G166">
            <v>7257</v>
          </cell>
          <cell r="H166">
            <v>11326</v>
          </cell>
          <cell r="I166">
            <v>6758</v>
          </cell>
          <cell r="J166">
            <v>17029</v>
          </cell>
          <cell r="O166">
            <v>4742</v>
          </cell>
          <cell r="P166">
            <v>6354</v>
          </cell>
          <cell r="AA166">
            <v>8210</v>
          </cell>
          <cell r="AB166">
            <v>7140</v>
          </cell>
          <cell r="DN166">
            <v>152586</v>
          </cell>
          <cell r="DO166">
            <v>166</v>
          </cell>
        </row>
        <row r="167">
          <cell r="A167" t="str">
            <v>Ithaca, NY Metro Area</v>
          </cell>
          <cell r="B167">
            <v>16165</v>
          </cell>
          <cell r="C167">
            <v>23460</v>
          </cell>
          <cell r="D167">
            <v>13590</v>
          </cell>
          <cell r="F167">
            <v>5784</v>
          </cell>
          <cell r="G167">
            <v>3530</v>
          </cell>
          <cell r="H167">
            <v>10529</v>
          </cell>
          <cell r="I167">
            <v>5033</v>
          </cell>
          <cell r="K167">
            <v>14278</v>
          </cell>
          <cell r="L167">
            <v>4660</v>
          </cell>
          <cell r="N167">
            <v>4535</v>
          </cell>
          <cell r="DN167">
            <v>101564</v>
          </cell>
          <cell r="DO167">
            <v>167</v>
          </cell>
        </row>
        <row r="168">
          <cell r="A168" t="str">
            <v>Jackson, MI Metro Area</v>
          </cell>
          <cell r="B168">
            <v>16658</v>
          </cell>
          <cell r="C168">
            <v>22074</v>
          </cell>
          <cell r="D168">
            <v>13461</v>
          </cell>
          <cell r="E168">
            <v>14552</v>
          </cell>
          <cell r="F168">
            <v>26679</v>
          </cell>
          <cell r="H168">
            <v>6542</v>
          </cell>
          <cell r="I168">
            <v>6776</v>
          </cell>
          <cell r="J168">
            <v>5145</v>
          </cell>
          <cell r="K168">
            <v>14390</v>
          </cell>
          <cell r="L168">
            <v>8541</v>
          </cell>
          <cell r="M168">
            <v>3223</v>
          </cell>
          <cell r="N168">
            <v>11515</v>
          </cell>
          <cell r="O168">
            <v>7894</v>
          </cell>
          <cell r="P168">
            <v>2798</v>
          </cell>
          <cell r="DN168">
            <v>160248</v>
          </cell>
          <cell r="DO168">
            <v>168</v>
          </cell>
        </row>
        <row r="169">
          <cell r="A169" t="str">
            <v>Jackson, MS Metro Area</v>
          </cell>
          <cell r="B169">
            <v>1377</v>
          </cell>
          <cell r="C169">
            <v>18445</v>
          </cell>
          <cell r="D169">
            <v>21766</v>
          </cell>
          <cell r="E169">
            <v>26928</v>
          </cell>
          <cell r="F169">
            <v>41092</v>
          </cell>
          <cell r="G169">
            <v>37656</v>
          </cell>
          <cell r="H169">
            <v>37837</v>
          </cell>
          <cell r="I169">
            <v>42685</v>
          </cell>
          <cell r="J169">
            <v>32429</v>
          </cell>
          <cell r="K169">
            <v>39098</v>
          </cell>
          <cell r="L169">
            <v>36605</v>
          </cell>
          <cell r="M169">
            <v>2420</v>
          </cell>
          <cell r="N169">
            <v>28541</v>
          </cell>
          <cell r="O169">
            <v>15816</v>
          </cell>
          <cell r="P169">
            <v>24489</v>
          </cell>
          <cell r="Q169">
            <v>11057</v>
          </cell>
          <cell r="S169">
            <v>6304</v>
          </cell>
          <cell r="T169">
            <v>11995</v>
          </cell>
          <cell r="U169">
            <v>2889</v>
          </cell>
          <cell r="W169">
            <v>4772</v>
          </cell>
          <cell r="X169">
            <v>11850</v>
          </cell>
          <cell r="Y169">
            <v>22630</v>
          </cell>
          <cell r="Z169">
            <v>8363</v>
          </cell>
          <cell r="AC169">
            <v>4199</v>
          </cell>
          <cell r="AD169">
            <v>10052</v>
          </cell>
          <cell r="AE169">
            <v>3581</v>
          </cell>
          <cell r="AH169">
            <v>5072</v>
          </cell>
          <cell r="AJ169">
            <v>5116</v>
          </cell>
          <cell r="AM169">
            <v>9734</v>
          </cell>
          <cell r="AN169">
            <v>6087</v>
          </cell>
          <cell r="AO169">
            <v>8172</v>
          </cell>
          <cell r="DN169">
            <v>539057</v>
          </cell>
          <cell r="DO169">
            <v>169</v>
          </cell>
        </row>
        <row r="170">
          <cell r="A170" t="str">
            <v>Jackson, TN Metro Area</v>
          </cell>
          <cell r="B170">
            <v>4260</v>
          </cell>
          <cell r="C170">
            <v>20889</v>
          </cell>
          <cell r="E170">
            <v>18241</v>
          </cell>
          <cell r="F170">
            <v>10506</v>
          </cell>
          <cell r="H170">
            <v>20121</v>
          </cell>
          <cell r="I170">
            <v>5275</v>
          </cell>
          <cell r="J170">
            <v>5946</v>
          </cell>
          <cell r="K170">
            <v>9131</v>
          </cell>
          <cell r="L170">
            <v>1620</v>
          </cell>
          <cell r="M170">
            <v>2305</v>
          </cell>
          <cell r="Q170">
            <v>5482</v>
          </cell>
          <cell r="R170">
            <v>5779</v>
          </cell>
          <cell r="U170">
            <v>5870</v>
          </cell>
          <cell r="DN170">
            <v>115425</v>
          </cell>
          <cell r="DO170">
            <v>170</v>
          </cell>
        </row>
        <row r="171">
          <cell r="A171" t="str">
            <v>Jacksonville, FL Metro Area</v>
          </cell>
          <cell r="B171">
            <v>10056</v>
          </cell>
          <cell r="C171">
            <v>27659</v>
          </cell>
          <cell r="D171">
            <v>33202</v>
          </cell>
          <cell r="E171">
            <v>59619</v>
          </cell>
          <cell r="F171">
            <v>61469</v>
          </cell>
          <cell r="G171">
            <v>65959</v>
          </cell>
          <cell r="H171">
            <v>69921</v>
          </cell>
          <cell r="I171">
            <v>46941</v>
          </cell>
          <cell r="J171">
            <v>69559</v>
          </cell>
          <cell r="K171">
            <v>124347</v>
          </cell>
          <cell r="L171">
            <v>56596</v>
          </cell>
          <cell r="M171">
            <v>88343</v>
          </cell>
          <cell r="N171">
            <v>85282</v>
          </cell>
          <cell r="O171">
            <v>23191</v>
          </cell>
          <cell r="P171">
            <v>58137</v>
          </cell>
          <cell r="Q171">
            <v>61833</v>
          </cell>
          <cell r="R171">
            <v>49651</v>
          </cell>
          <cell r="S171">
            <v>37173</v>
          </cell>
          <cell r="T171">
            <v>19101</v>
          </cell>
          <cell r="U171">
            <v>12789</v>
          </cell>
          <cell r="V171">
            <v>31340</v>
          </cell>
          <cell r="W171">
            <v>10777</v>
          </cell>
          <cell r="X171">
            <v>29604</v>
          </cell>
          <cell r="Y171">
            <v>5311</v>
          </cell>
          <cell r="Z171">
            <v>40017</v>
          </cell>
          <cell r="AA171">
            <v>19847</v>
          </cell>
          <cell r="AC171">
            <v>2765</v>
          </cell>
          <cell r="AD171">
            <v>9935</v>
          </cell>
          <cell r="AE171">
            <v>7531</v>
          </cell>
          <cell r="AF171">
            <v>11848</v>
          </cell>
          <cell r="AG171">
            <v>18016</v>
          </cell>
          <cell r="AH171">
            <v>354</v>
          </cell>
          <cell r="AK171">
            <v>11594</v>
          </cell>
          <cell r="AL171">
            <v>10359</v>
          </cell>
          <cell r="AM171">
            <v>11306</v>
          </cell>
          <cell r="AN171">
            <v>6060</v>
          </cell>
          <cell r="AO171">
            <v>6685</v>
          </cell>
          <cell r="AP171">
            <v>14130</v>
          </cell>
          <cell r="AQ171">
            <v>19871</v>
          </cell>
          <cell r="AR171">
            <v>1443</v>
          </cell>
          <cell r="AS171">
            <v>4933</v>
          </cell>
          <cell r="AT171">
            <v>3576</v>
          </cell>
          <cell r="AV171">
            <v>5462</v>
          </cell>
          <cell r="AW171">
            <v>1167</v>
          </cell>
          <cell r="AX171">
            <v>837</v>
          </cell>
          <cell r="DN171">
            <v>1345596</v>
          </cell>
          <cell r="DO171">
            <v>171</v>
          </cell>
        </row>
        <row r="172">
          <cell r="A172" t="str">
            <v>Jacksonville, NC Metro Area</v>
          </cell>
          <cell r="B172">
            <v>1922</v>
          </cell>
          <cell r="C172">
            <v>9996</v>
          </cell>
          <cell r="D172">
            <v>20328</v>
          </cell>
          <cell r="E172">
            <v>29151</v>
          </cell>
          <cell r="F172">
            <v>21027</v>
          </cell>
          <cell r="G172">
            <v>10835</v>
          </cell>
          <cell r="I172">
            <v>19926</v>
          </cell>
          <cell r="J172">
            <v>10317</v>
          </cell>
          <cell r="K172">
            <v>9107</v>
          </cell>
          <cell r="L172">
            <v>5415</v>
          </cell>
          <cell r="M172">
            <v>1294</v>
          </cell>
          <cell r="O172">
            <v>18926</v>
          </cell>
          <cell r="P172">
            <v>5540</v>
          </cell>
          <cell r="Q172">
            <v>8166</v>
          </cell>
          <cell r="R172">
            <v>4787</v>
          </cell>
          <cell r="T172">
            <v>1035</v>
          </cell>
          <cell r="DN172">
            <v>177772</v>
          </cell>
          <cell r="DO172">
            <v>172</v>
          </cell>
        </row>
        <row r="173">
          <cell r="A173" t="str">
            <v>Janesville, WI Metro Area</v>
          </cell>
          <cell r="B173">
            <v>13497</v>
          </cell>
          <cell r="C173">
            <v>19691</v>
          </cell>
          <cell r="D173">
            <v>9501</v>
          </cell>
          <cell r="E173">
            <v>26316</v>
          </cell>
          <cell r="F173">
            <v>4603</v>
          </cell>
          <cell r="J173">
            <v>11111</v>
          </cell>
          <cell r="K173">
            <v>4996</v>
          </cell>
          <cell r="L173">
            <v>32897</v>
          </cell>
          <cell r="M173">
            <v>13132</v>
          </cell>
          <cell r="N173">
            <v>13958</v>
          </cell>
          <cell r="O173">
            <v>2571</v>
          </cell>
          <cell r="Q173">
            <v>8058</v>
          </cell>
          <cell r="DN173">
            <v>160331</v>
          </cell>
          <cell r="DO173">
            <v>173</v>
          </cell>
        </row>
        <row r="174">
          <cell r="A174" t="str">
            <v>Jefferson City, MO Metro Area</v>
          </cell>
          <cell r="B174">
            <v>7063</v>
          </cell>
          <cell r="C174">
            <v>3731</v>
          </cell>
          <cell r="D174">
            <v>22845</v>
          </cell>
          <cell r="F174">
            <v>5344</v>
          </cell>
          <cell r="G174">
            <v>13386</v>
          </cell>
          <cell r="H174">
            <v>19945</v>
          </cell>
          <cell r="J174">
            <v>4158</v>
          </cell>
          <cell r="L174">
            <v>4021</v>
          </cell>
          <cell r="O174">
            <v>6324</v>
          </cell>
          <cell r="P174">
            <v>9962</v>
          </cell>
          <cell r="Q174">
            <v>3381</v>
          </cell>
          <cell r="U174">
            <v>4010</v>
          </cell>
          <cell r="V174">
            <v>4433</v>
          </cell>
          <cell r="W174">
            <v>9259</v>
          </cell>
          <cell r="X174">
            <v>6055</v>
          </cell>
          <cell r="Y174">
            <v>7284</v>
          </cell>
          <cell r="Z174">
            <v>5988</v>
          </cell>
          <cell r="AB174">
            <v>3633</v>
          </cell>
          <cell r="AH174">
            <v>5108</v>
          </cell>
          <cell r="AI174">
            <v>3877</v>
          </cell>
          <cell r="DN174">
            <v>149807</v>
          </cell>
          <cell r="DO174">
            <v>174</v>
          </cell>
        </row>
        <row r="175">
          <cell r="A175" t="str">
            <v>Johnson City, TN Metro Area</v>
          </cell>
          <cell r="B175">
            <v>12071</v>
          </cell>
          <cell r="C175">
            <v>9207</v>
          </cell>
          <cell r="D175">
            <v>26236</v>
          </cell>
          <cell r="E175">
            <v>7921</v>
          </cell>
          <cell r="F175">
            <v>17430</v>
          </cell>
          <cell r="G175">
            <v>5599</v>
          </cell>
          <cell r="H175">
            <v>18264</v>
          </cell>
          <cell r="I175">
            <v>25815</v>
          </cell>
          <cell r="J175">
            <v>2260</v>
          </cell>
          <cell r="K175">
            <v>25293</v>
          </cell>
          <cell r="M175">
            <v>2152</v>
          </cell>
          <cell r="N175">
            <v>10507</v>
          </cell>
          <cell r="O175">
            <v>13705</v>
          </cell>
          <cell r="P175">
            <v>7317</v>
          </cell>
          <cell r="Q175">
            <v>6752</v>
          </cell>
          <cell r="T175">
            <v>5519</v>
          </cell>
          <cell r="V175">
            <v>2668</v>
          </cell>
          <cell r="DN175">
            <v>198716</v>
          </cell>
          <cell r="DO175">
            <v>175</v>
          </cell>
        </row>
        <row r="176">
          <cell r="A176" t="str">
            <v>Johnstown, PA Metro Area</v>
          </cell>
          <cell r="B176">
            <v>4704</v>
          </cell>
          <cell r="C176">
            <v>21289</v>
          </cell>
          <cell r="D176">
            <v>21678</v>
          </cell>
          <cell r="E176">
            <v>6715</v>
          </cell>
          <cell r="F176">
            <v>8844</v>
          </cell>
          <cell r="G176">
            <v>4766</v>
          </cell>
          <cell r="I176">
            <v>4392</v>
          </cell>
          <cell r="J176">
            <v>9957</v>
          </cell>
          <cell r="M176">
            <v>5426</v>
          </cell>
          <cell r="N176">
            <v>2427</v>
          </cell>
          <cell r="O176">
            <v>2638</v>
          </cell>
          <cell r="P176">
            <v>9739</v>
          </cell>
          <cell r="Q176">
            <v>3351</v>
          </cell>
          <cell r="S176">
            <v>2680</v>
          </cell>
          <cell r="U176">
            <v>6722</v>
          </cell>
          <cell r="V176">
            <v>4302</v>
          </cell>
          <cell r="W176">
            <v>3803</v>
          </cell>
          <cell r="Y176">
            <v>7918</v>
          </cell>
          <cell r="Z176">
            <v>3835</v>
          </cell>
          <cell r="AB176">
            <v>6038</v>
          </cell>
          <cell r="AJ176">
            <v>2455</v>
          </cell>
          <cell r="DN176">
            <v>143679</v>
          </cell>
          <cell r="DO176">
            <v>176</v>
          </cell>
        </row>
        <row r="177">
          <cell r="A177" t="str">
            <v>Jonesboro, AR Metro Area</v>
          </cell>
          <cell r="B177">
            <v>7823</v>
          </cell>
          <cell r="C177">
            <v>16267</v>
          </cell>
          <cell r="D177">
            <v>13327</v>
          </cell>
          <cell r="E177">
            <v>25952</v>
          </cell>
          <cell r="F177">
            <v>11534</v>
          </cell>
          <cell r="H177">
            <v>4835</v>
          </cell>
          <cell r="J177">
            <v>6992</v>
          </cell>
          <cell r="M177">
            <v>5408</v>
          </cell>
          <cell r="Q177">
            <v>4200</v>
          </cell>
          <cell r="R177">
            <v>3544</v>
          </cell>
          <cell r="T177">
            <v>8260</v>
          </cell>
          <cell r="V177">
            <v>4305</v>
          </cell>
          <cell r="W177">
            <v>1698</v>
          </cell>
          <cell r="AB177">
            <v>2461</v>
          </cell>
          <cell r="AC177">
            <v>4420</v>
          </cell>
          <cell r="DN177">
            <v>121026</v>
          </cell>
          <cell r="DO177">
            <v>177</v>
          </cell>
        </row>
        <row r="178">
          <cell r="A178" t="str">
            <v>Joplin, MO Metro Area</v>
          </cell>
          <cell r="B178">
            <v>3979</v>
          </cell>
          <cell r="C178">
            <v>23661</v>
          </cell>
          <cell r="D178">
            <v>10975</v>
          </cell>
          <cell r="E178">
            <v>27944</v>
          </cell>
          <cell r="G178">
            <v>14258</v>
          </cell>
          <cell r="H178">
            <v>5012</v>
          </cell>
          <cell r="I178">
            <v>13714</v>
          </cell>
          <cell r="L178">
            <v>5212</v>
          </cell>
          <cell r="M178">
            <v>4756</v>
          </cell>
          <cell r="N178">
            <v>18552</v>
          </cell>
          <cell r="O178">
            <v>7401</v>
          </cell>
          <cell r="R178">
            <v>3328</v>
          </cell>
          <cell r="S178">
            <v>13393</v>
          </cell>
          <cell r="T178">
            <v>11637</v>
          </cell>
          <cell r="U178">
            <v>8317</v>
          </cell>
          <cell r="AB178">
            <v>3379</v>
          </cell>
          <cell r="DN178">
            <v>175518</v>
          </cell>
          <cell r="DO178">
            <v>178</v>
          </cell>
        </row>
        <row r="179">
          <cell r="A179" t="str">
            <v>Kalamazoo-Portage, MI Metro Area</v>
          </cell>
          <cell r="B179">
            <v>12567</v>
          </cell>
          <cell r="C179">
            <v>28905</v>
          </cell>
          <cell r="D179">
            <v>54804</v>
          </cell>
          <cell r="E179">
            <v>13283</v>
          </cell>
          <cell r="F179">
            <v>23588</v>
          </cell>
          <cell r="G179">
            <v>38875</v>
          </cell>
          <cell r="H179">
            <v>6822</v>
          </cell>
          <cell r="I179">
            <v>31087</v>
          </cell>
          <cell r="J179">
            <v>14543</v>
          </cell>
          <cell r="L179">
            <v>2737</v>
          </cell>
          <cell r="M179">
            <v>8214</v>
          </cell>
          <cell r="N179">
            <v>13971</v>
          </cell>
          <cell r="O179">
            <v>11310</v>
          </cell>
          <cell r="P179">
            <v>9391</v>
          </cell>
          <cell r="R179">
            <v>6881</v>
          </cell>
          <cell r="S179">
            <v>7003</v>
          </cell>
          <cell r="V179">
            <v>6192</v>
          </cell>
          <cell r="AB179">
            <v>10741</v>
          </cell>
          <cell r="AD179">
            <v>6161</v>
          </cell>
          <cell r="AF179">
            <v>8243</v>
          </cell>
          <cell r="AJ179">
            <v>3530</v>
          </cell>
          <cell r="AK179">
            <v>7741</v>
          </cell>
          <cell r="DN179">
            <v>326589</v>
          </cell>
          <cell r="DO179">
            <v>179</v>
          </cell>
        </row>
        <row r="180">
          <cell r="A180" t="str">
            <v>Kankakee-Bradley, IL Metro Area</v>
          </cell>
          <cell r="B180">
            <v>15520</v>
          </cell>
          <cell r="C180">
            <v>17475</v>
          </cell>
          <cell r="D180">
            <v>12621</v>
          </cell>
          <cell r="E180">
            <v>13903</v>
          </cell>
          <cell r="F180">
            <v>16210</v>
          </cell>
          <cell r="G180">
            <v>1901</v>
          </cell>
          <cell r="I180">
            <v>4802</v>
          </cell>
          <cell r="K180">
            <v>17889</v>
          </cell>
          <cell r="O180">
            <v>9274</v>
          </cell>
          <cell r="P180">
            <v>3854</v>
          </cell>
          <cell r="DN180">
            <v>113449</v>
          </cell>
          <cell r="DO180">
            <v>180</v>
          </cell>
        </row>
        <row r="181">
          <cell r="A181" t="str">
            <v>Kansas City, MO-KS Metro Area</v>
          </cell>
          <cell r="B181">
            <v>13709</v>
          </cell>
          <cell r="C181">
            <v>19191</v>
          </cell>
          <cell r="D181">
            <v>44488</v>
          </cell>
          <cell r="E181">
            <v>78414</v>
          </cell>
          <cell r="F181">
            <v>60681</v>
          </cell>
          <cell r="G181">
            <v>53453</v>
          </cell>
          <cell r="H181">
            <v>82603</v>
          </cell>
          <cell r="I181">
            <v>109028</v>
          </cell>
          <cell r="J181">
            <v>78944</v>
          </cell>
          <cell r="K181">
            <v>111930</v>
          </cell>
          <cell r="L181">
            <v>145001</v>
          </cell>
          <cell r="M181">
            <v>103621</v>
          </cell>
          <cell r="N181">
            <v>81852</v>
          </cell>
          <cell r="O181">
            <v>92507</v>
          </cell>
          <cell r="P181">
            <v>90167</v>
          </cell>
          <cell r="Q181">
            <v>49488</v>
          </cell>
          <cell r="R181">
            <v>76755</v>
          </cell>
          <cell r="S181">
            <v>85171</v>
          </cell>
          <cell r="T181">
            <v>81222</v>
          </cell>
          <cell r="U181">
            <v>63460</v>
          </cell>
          <cell r="V181">
            <v>97138</v>
          </cell>
          <cell r="W181">
            <v>53777</v>
          </cell>
          <cell r="X181">
            <v>21675</v>
          </cell>
          <cell r="Y181">
            <v>25298</v>
          </cell>
          <cell r="Z181">
            <v>25230</v>
          </cell>
          <cell r="AA181">
            <v>26838</v>
          </cell>
          <cell r="AB181">
            <v>38440</v>
          </cell>
          <cell r="AC181">
            <v>14445</v>
          </cell>
          <cell r="AD181">
            <v>6991</v>
          </cell>
          <cell r="AE181">
            <v>10083</v>
          </cell>
          <cell r="AF181">
            <v>3873</v>
          </cell>
          <cell r="AG181">
            <v>13093</v>
          </cell>
          <cell r="AH181">
            <v>19915</v>
          </cell>
          <cell r="AI181">
            <v>11256</v>
          </cell>
          <cell r="AJ181">
            <v>22933</v>
          </cell>
          <cell r="AK181">
            <v>4124</v>
          </cell>
          <cell r="AL181">
            <v>4133</v>
          </cell>
          <cell r="AO181">
            <v>9843</v>
          </cell>
          <cell r="AP181">
            <v>9279</v>
          </cell>
          <cell r="AQ181">
            <v>1854</v>
          </cell>
          <cell r="AS181">
            <v>4334</v>
          </cell>
          <cell r="AT181">
            <v>3983</v>
          </cell>
          <cell r="AV181">
            <v>5581</v>
          </cell>
          <cell r="AW181">
            <v>18867</v>
          </cell>
          <cell r="AX181">
            <v>6485</v>
          </cell>
          <cell r="AY181">
            <v>2998</v>
          </cell>
          <cell r="AZ181">
            <v>4664</v>
          </cell>
          <cell r="BA181">
            <v>9322</v>
          </cell>
          <cell r="BB181">
            <v>5248</v>
          </cell>
          <cell r="BC181">
            <v>6036</v>
          </cell>
          <cell r="BD181">
            <v>2939</v>
          </cell>
          <cell r="BE181">
            <v>6870</v>
          </cell>
          <cell r="BF181">
            <v>4411</v>
          </cell>
          <cell r="BI181">
            <v>4520</v>
          </cell>
          <cell r="BQ181">
            <v>4303</v>
          </cell>
          <cell r="BS181">
            <v>2870</v>
          </cell>
          <cell r="DN181">
            <v>2035334</v>
          </cell>
          <cell r="DO181">
            <v>181</v>
          </cell>
        </row>
        <row r="182">
          <cell r="A182" t="str">
            <v>Kennewick-Pasco-Richland, WA Metro Area</v>
          </cell>
          <cell r="B182">
            <v>17429</v>
          </cell>
          <cell r="C182">
            <v>12381</v>
          </cell>
          <cell r="D182">
            <v>37219</v>
          </cell>
          <cell r="E182">
            <v>41608</v>
          </cell>
          <cell r="F182">
            <v>9288</v>
          </cell>
          <cell r="G182">
            <v>17469</v>
          </cell>
          <cell r="H182">
            <v>14939</v>
          </cell>
          <cell r="I182">
            <v>5917</v>
          </cell>
          <cell r="J182">
            <v>14086</v>
          </cell>
          <cell r="K182">
            <v>9483</v>
          </cell>
          <cell r="L182">
            <v>22930</v>
          </cell>
          <cell r="M182">
            <v>9563</v>
          </cell>
          <cell r="N182">
            <v>4931</v>
          </cell>
          <cell r="O182">
            <v>1082</v>
          </cell>
          <cell r="P182">
            <v>2803</v>
          </cell>
          <cell r="R182">
            <v>2138</v>
          </cell>
          <cell r="U182">
            <v>7220</v>
          </cell>
          <cell r="W182">
            <v>5</v>
          </cell>
          <cell r="Y182">
            <v>931</v>
          </cell>
          <cell r="AF182">
            <v>6546</v>
          </cell>
          <cell r="AG182">
            <v>15372</v>
          </cell>
          <cell r="DN182">
            <v>253340</v>
          </cell>
          <cell r="DO182">
            <v>182</v>
          </cell>
        </row>
        <row r="183">
          <cell r="A183" t="str">
            <v>Killeen-Temple-Fort Hood, TX Metro Area</v>
          </cell>
          <cell r="B183">
            <v>12659</v>
          </cell>
          <cell r="C183">
            <v>25460</v>
          </cell>
          <cell r="D183">
            <v>53290</v>
          </cell>
          <cell r="E183">
            <v>33101</v>
          </cell>
          <cell r="F183">
            <v>23964</v>
          </cell>
          <cell r="G183">
            <v>20668</v>
          </cell>
          <cell r="H183">
            <v>16775</v>
          </cell>
          <cell r="I183">
            <v>319</v>
          </cell>
          <cell r="J183">
            <v>6966</v>
          </cell>
          <cell r="K183">
            <v>19670</v>
          </cell>
          <cell r="L183">
            <v>10684</v>
          </cell>
          <cell r="M183">
            <v>7436</v>
          </cell>
          <cell r="N183">
            <v>4853</v>
          </cell>
          <cell r="O183">
            <v>6355</v>
          </cell>
          <cell r="Q183">
            <v>13355</v>
          </cell>
          <cell r="R183">
            <v>14117</v>
          </cell>
          <cell r="S183">
            <v>11974</v>
          </cell>
          <cell r="T183">
            <v>11547</v>
          </cell>
          <cell r="V183">
            <v>18397</v>
          </cell>
          <cell r="W183">
            <v>16351</v>
          </cell>
          <cell r="X183">
            <v>17352</v>
          </cell>
          <cell r="Y183">
            <v>17531</v>
          </cell>
          <cell r="Z183">
            <v>21247</v>
          </cell>
          <cell r="AB183">
            <v>3674</v>
          </cell>
          <cell r="AC183">
            <v>9963</v>
          </cell>
          <cell r="AE183">
            <v>4862</v>
          </cell>
          <cell r="AI183">
            <v>2730</v>
          </cell>
          <cell r="DN183">
            <v>405300</v>
          </cell>
          <cell r="DO183">
            <v>183</v>
          </cell>
        </row>
        <row r="184">
          <cell r="A184" t="str">
            <v>Kingsport-Bristol-Bristol, TN-VA Metro Area</v>
          </cell>
          <cell r="B184">
            <v>5931</v>
          </cell>
          <cell r="C184">
            <v>17004</v>
          </cell>
          <cell r="D184">
            <v>15231</v>
          </cell>
          <cell r="E184">
            <v>3229</v>
          </cell>
          <cell r="F184">
            <v>21226</v>
          </cell>
          <cell r="G184">
            <v>18191</v>
          </cell>
          <cell r="H184">
            <v>14410</v>
          </cell>
          <cell r="I184">
            <v>12629</v>
          </cell>
          <cell r="K184">
            <v>7852</v>
          </cell>
          <cell r="L184">
            <v>7373</v>
          </cell>
          <cell r="N184">
            <v>3521</v>
          </cell>
          <cell r="O184">
            <v>8557</v>
          </cell>
          <cell r="P184">
            <v>13872</v>
          </cell>
          <cell r="R184">
            <v>7841</v>
          </cell>
          <cell r="S184">
            <v>7631</v>
          </cell>
          <cell r="T184">
            <v>15642</v>
          </cell>
          <cell r="U184">
            <v>4948</v>
          </cell>
          <cell r="V184">
            <v>11136</v>
          </cell>
          <cell r="W184">
            <v>12680</v>
          </cell>
          <cell r="X184">
            <v>12644</v>
          </cell>
          <cell r="Y184">
            <v>9856</v>
          </cell>
          <cell r="AA184">
            <v>3882</v>
          </cell>
          <cell r="AC184">
            <v>16633</v>
          </cell>
          <cell r="AD184">
            <v>8222</v>
          </cell>
          <cell r="AF184">
            <v>6949</v>
          </cell>
          <cell r="AG184">
            <v>2381</v>
          </cell>
          <cell r="AH184">
            <v>3238</v>
          </cell>
          <cell r="AI184">
            <v>6320</v>
          </cell>
          <cell r="AK184">
            <v>7932</v>
          </cell>
          <cell r="AN184">
            <v>3709</v>
          </cell>
          <cell r="AO184">
            <v>4280</v>
          </cell>
          <cell r="AP184">
            <v>4233</v>
          </cell>
          <cell r="AR184">
            <v>2748</v>
          </cell>
          <cell r="AV184">
            <v>7613</v>
          </cell>
          <cell r="DN184">
            <v>309544</v>
          </cell>
          <cell r="DO184">
            <v>184</v>
          </cell>
        </row>
        <row r="185">
          <cell r="A185" t="str">
            <v>Kingston, NY Metro Area</v>
          </cell>
          <cell r="B185">
            <v>15691</v>
          </cell>
          <cell r="C185">
            <v>13266</v>
          </cell>
          <cell r="D185">
            <v>3793</v>
          </cell>
          <cell r="F185">
            <v>11725</v>
          </cell>
          <cell r="G185">
            <v>8521</v>
          </cell>
          <cell r="I185">
            <v>1585</v>
          </cell>
          <cell r="J185">
            <v>8551</v>
          </cell>
          <cell r="K185">
            <v>14200</v>
          </cell>
          <cell r="L185">
            <v>3968</v>
          </cell>
          <cell r="N185">
            <v>7290</v>
          </cell>
          <cell r="O185">
            <v>24560</v>
          </cell>
          <cell r="P185">
            <v>7489</v>
          </cell>
          <cell r="R185">
            <v>5471</v>
          </cell>
          <cell r="T185">
            <v>10732</v>
          </cell>
          <cell r="V185">
            <v>12881</v>
          </cell>
          <cell r="W185">
            <v>3946</v>
          </cell>
          <cell r="X185">
            <v>4732</v>
          </cell>
          <cell r="Y185">
            <v>6323</v>
          </cell>
          <cell r="AA185">
            <v>14594</v>
          </cell>
          <cell r="AB185">
            <v>1335</v>
          </cell>
          <cell r="AD185">
            <v>1840</v>
          </cell>
          <cell r="DN185">
            <v>182493</v>
          </cell>
          <cell r="DO185">
            <v>185</v>
          </cell>
        </row>
        <row r="186">
          <cell r="A186" t="str">
            <v>Knoxville, TN Metro Area</v>
          </cell>
          <cell r="B186">
            <v>13422</v>
          </cell>
          <cell r="C186">
            <v>23382</v>
          </cell>
          <cell r="D186">
            <v>30683</v>
          </cell>
          <cell r="E186">
            <v>28654</v>
          </cell>
          <cell r="F186">
            <v>34041</v>
          </cell>
          <cell r="G186">
            <v>29768</v>
          </cell>
          <cell r="H186">
            <v>43115</v>
          </cell>
          <cell r="I186">
            <v>38338</v>
          </cell>
          <cell r="J186">
            <v>29866</v>
          </cell>
          <cell r="K186">
            <v>62021</v>
          </cell>
          <cell r="L186">
            <v>25949</v>
          </cell>
          <cell r="M186">
            <v>17226</v>
          </cell>
          <cell r="N186">
            <v>56170</v>
          </cell>
          <cell r="O186">
            <v>18541</v>
          </cell>
          <cell r="P186">
            <v>24127</v>
          </cell>
          <cell r="Q186">
            <v>36224</v>
          </cell>
          <cell r="R186">
            <v>20436</v>
          </cell>
          <cell r="S186">
            <v>41142</v>
          </cell>
          <cell r="T186">
            <v>8623</v>
          </cell>
          <cell r="U186">
            <v>29096</v>
          </cell>
          <cell r="V186">
            <v>24911</v>
          </cell>
          <cell r="W186">
            <v>10983</v>
          </cell>
          <cell r="X186">
            <v>4095</v>
          </cell>
          <cell r="Y186">
            <v>12333</v>
          </cell>
          <cell r="Z186">
            <v>6457</v>
          </cell>
          <cell r="AA186">
            <v>7561</v>
          </cell>
          <cell r="AB186">
            <v>8689</v>
          </cell>
          <cell r="AC186">
            <v>2366</v>
          </cell>
          <cell r="AE186">
            <v>4447</v>
          </cell>
          <cell r="AF186">
            <v>2358</v>
          </cell>
          <cell r="AK186">
            <v>3006</v>
          </cell>
          <cell r="DN186">
            <v>698030</v>
          </cell>
          <cell r="DO186">
            <v>186</v>
          </cell>
        </row>
        <row r="187">
          <cell r="A187" t="str">
            <v>Kokomo, IN Metro Area</v>
          </cell>
          <cell r="B187">
            <v>11276</v>
          </cell>
          <cell r="C187">
            <v>22916</v>
          </cell>
          <cell r="D187">
            <v>14550</v>
          </cell>
          <cell r="E187">
            <v>10309</v>
          </cell>
          <cell r="F187">
            <v>8339</v>
          </cell>
          <cell r="H187">
            <v>5075</v>
          </cell>
          <cell r="I187">
            <v>3611</v>
          </cell>
          <cell r="J187">
            <v>3796</v>
          </cell>
          <cell r="K187">
            <v>6491</v>
          </cell>
          <cell r="P187">
            <v>6739</v>
          </cell>
          <cell r="Q187">
            <v>5586</v>
          </cell>
          <cell r="DN187">
            <v>98688</v>
          </cell>
          <cell r="DO187">
            <v>187</v>
          </cell>
        </row>
        <row r="188">
          <cell r="A188" t="str">
            <v>La Crosse, WI-MN Metro Area</v>
          </cell>
          <cell r="B188">
            <v>12563</v>
          </cell>
          <cell r="C188">
            <v>22230</v>
          </cell>
          <cell r="D188">
            <v>6843</v>
          </cell>
          <cell r="E188">
            <v>18288</v>
          </cell>
          <cell r="F188">
            <v>14511</v>
          </cell>
          <cell r="G188">
            <v>9163</v>
          </cell>
          <cell r="H188">
            <v>5214</v>
          </cell>
          <cell r="I188">
            <v>3587</v>
          </cell>
          <cell r="J188">
            <v>1887</v>
          </cell>
          <cell r="K188">
            <v>9503</v>
          </cell>
          <cell r="L188">
            <v>14588</v>
          </cell>
          <cell r="P188">
            <v>5566</v>
          </cell>
          <cell r="S188">
            <v>5839</v>
          </cell>
          <cell r="X188">
            <v>3883</v>
          </cell>
          <cell r="DN188">
            <v>133665</v>
          </cell>
          <cell r="DO188">
            <v>188</v>
          </cell>
        </row>
        <row r="189">
          <cell r="A189" t="str">
            <v>Lafayette, IN Metro Area</v>
          </cell>
          <cell r="B189">
            <v>20973</v>
          </cell>
          <cell r="C189">
            <v>35850</v>
          </cell>
          <cell r="D189">
            <v>29315</v>
          </cell>
          <cell r="E189">
            <v>30377</v>
          </cell>
          <cell r="F189">
            <v>20385</v>
          </cell>
          <cell r="G189">
            <v>11933</v>
          </cell>
          <cell r="H189">
            <v>10207</v>
          </cell>
          <cell r="I189">
            <v>5849</v>
          </cell>
          <cell r="J189">
            <v>3865</v>
          </cell>
          <cell r="L189">
            <v>4026</v>
          </cell>
          <cell r="Q189">
            <v>3392</v>
          </cell>
          <cell r="R189">
            <v>3282</v>
          </cell>
          <cell r="S189">
            <v>3413</v>
          </cell>
          <cell r="T189">
            <v>2427</v>
          </cell>
          <cell r="U189">
            <v>2592</v>
          </cell>
          <cell r="W189">
            <v>2755</v>
          </cell>
          <cell r="Z189">
            <v>5707</v>
          </cell>
          <cell r="AB189">
            <v>3115</v>
          </cell>
          <cell r="AF189">
            <v>2326</v>
          </cell>
          <cell r="DN189">
            <v>201789</v>
          </cell>
          <cell r="DO189">
            <v>189</v>
          </cell>
        </row>
        <row r="190">
          <cell r="A190" t="str">
            <v>Lafayette, LA Metro Area</v>
          </cell>
          <cell r="B190">
            <v>12183</v>
          </cell>
          <cell r="C190">
            <v>30924</v>
          </cell>
          <cell r="D190">
            <v>24379</v>
          </cell>
          <cell r="E190">
            <v>29977</v>
          </cell>
          <cell r="F190">
            <v>31354</v>
          </cell>
          <cell r="G190">
            <v>19914</v>
          </cell>
          <cell r="H190">
            <v>21833</v>
          </cell>
          <cell r="I190">
            <v>34705</v>
          </cell>
          <cell r="J190">
            <v>19861</v>
          </cell>
          <cell r="K190">
            <v>10141</v>
          </cell>
          <cell r="M190">
            <v>13934</v>
          </cell>
          <cell r="N190">
            <v>13077</v>
          </cell>
          <cell r="O190">
            <v>1923</v>
          </cell>
          <cell r="P190">
            <v>2974</v>
          </cell>
          <cell r="R190">
            <v>5116</v>
          </cell>
          <cell r="BH190">
            <v>1443</v>
          </cell>
          <cell r="DN190">
            <v>273738</v>
          </cell>
          <cell r="DO190">
            <v>190</v>
          </cell>
        </row>
        <row r="191">
          <cell r="A191" t="str">
            <v>Lake Charles, LA Metro Area</v>
          </cell>
          <cell r="B191">
            <v>5268</v>
          </cell>
          <cell r="C191">
            <v>19751</v>
          </cell>
          <cell r="D191">
            <v>13902</v>
          </cell>
          <cell r="E191">
            <v>30380</v>
          </cell>
          <cell r="F191">
            <v>17451</v>
          </cell>
          <cell r="G191">
            <v>7434</v>
          </cell>
          <cell r="H191">
            <v>25361</v>
          </cell>
          <cell r="I191">
            <v>5253</v>
          </cell>
          <cell r="J191">
            <v>12689</v>
          </cell>
          <cell r="K191">
            <v>31238</v>
          </cell>
          <cell r="M191">
            <v>2835</v>
          </cell>
          <cell r="N191">
            <v>3033</v>
          </cell>
          <cell r="O191">
            <v>4619</v>
          </cell>
          <cell r="T191">
            <v>4883</v>
          </cell>
          <cell r="V191">
            <v>5878</v>
          </cell>
          <cell r="W191">
            <v>3501</v>
          </cell>
          <cell r="Z191">
            <v>1956</v>
          </cell>
          <cell r="AA191">
            <v>4175</v>
          </cell>
          <cell r="DN191">
            <v>199607</v>
          </cell>
          <cell r="DO191">
            <v>191</v>
          </cell>
        </row>
        <row r="192">
          <cell r="A192" t="str">
            <v>Lake Havasu City-Kingman, AZ Metro Area</v>
          </cell>
          <cell r="B192">
            <v>13397</v>
          </cell>
          <cell r="C192">
            <v>8084</v>
          </cell>
          <cell r="D192">
            <v>20533</v>
          </cell>
          <cell r="E192">
            <v>10916</v>
          </cell>
          <cell r="G192">
            <v>2619</v>
          </cell>
          <cell r="AE192">
            <v>5286</v>
          </cell>
          <cell r="AK192">
            <v>2546</v>
          </cell>
          <cell r="AL192">
            <v>7439</v>
          </cell>
          <cell r="AP192">
            <v>3679</v>
          </cell>
          <cell r="AQ192">
            <v>4315</v>
          </cell>
          <cell r="AR192">
            <v>8793</v>
          </cell>
          <cell r="AT192">
            <v>9306</v>
          </cell>
          <cell r="AV192">
            <v>16856</v>
          </cell>
          <cell r="AW192">
            <v>7885</v>
          </cell>
          <cell r="AZ192">
            <v>3748</v>
          </cell>
          <cell r="BA192">
            <v>2647</v>
          </cell>
          <cell r="BB192">
            <v>9029</v>
          </cell>
          <cell r="BC192">
            <v>15198</v>
          </cell>
          <cell r="BD192">
            <v>10492</v>
          </cell>
          <cell r="BF192">
            <v>8012</v>
          </cell>
          <cell r="BG192">
            <v>3825</v>
          </cell>
          <cell r="BH192">
            <v>7441</v>
          </cell>
          <cell r="CB192">
            <v>2051</v>
          </cell>
          <cell r="CF192">
            <v>3950</v>
          </cell>
          <cell r="CL192">
            <v>1288</v>
          </cell>
          <cell r="DK192">
            <v>10851</v>
          </cell>
          <cell r="DN192">
            <v>200186</v>
          </cell>
          <cell r="DO192">
            <v>192</v>
          </cell>
        </row>
        <row r="193">
          <cell r="A193" t="str">
            <v>Lakeland-Winter Haven, FL Metro Area</v>
          </cell>
          <cell r="B193">
            <v>8363</v>
          </cell>
          <cell r="C193">
            <v>23322</v>
          </cell>
          <cell r="D193">
            <v>44979</v>
          </cell>
          <cell r="E193">
            <v>14787</v>
          </cell>
          <cell r="F193">
            <v>40877</v>
          </cell>
          <cell r="G193">
            <v>30638</v>
          </cell>
          <cell r="H193">
            <v>30202</v>
          </cell>
          <cell r="I193">
            <v>34472</v>
          </cell>
          <cell r="J193">
            <v>20339</v>
          </cell>
          <cell r="K193">
            <v>23377</v>
          </cell>
          <cell r="L193">
            <v>24358</v>
          </cell>
          <cell r="M193">
            <v>27327</v>
          </cell>
          <cell r="N193">
            <v>17680</v>
          </cell>
          <cell r="O193">
            <v>12685</v>
          </cell>
          <cell r="P193">
            <v>18326</v>
          </cell>
          <cell r="Q193">
            <v>27379</v>
          </cell>
          <cell r="R193">
            <v>6771</v>
          </cell>
          <cell r="S193">
            <v>21769</v>
          </cell>
          <cell r="T193">
            <v>5589</v>
          </cell>
          <cell r="U193">
            <v>12522</v>
          </cell>
          <cell r="V193">
            <v>23442</v>
          </cell>
          <cell r="W193">
            <v>15890</v>
          </cell>
          <cell r="X193">
            <v>1770</v>
          </cell>
          <cell r="Y193">
            <v>14187</v>
          </cell>
          <cell r="Z193">
            <v>32364</v>
          </cell>
          <cell r="AA193">
            <v>5873</v>
          </cell>
          <cell r="AB193">
            <v>11557</v>
          </cell>
          <cell r="AC193">
            <v>13170</v>
          </cell>
          <cell r="AE193">
            <v>17017</v>
          </cell>
          <cell r="AF193">
            <v>3198</v>
          </cell>
          <cell r="AG193">
            <v>3896</v>
          </cell>
          <cell r="AH193">
            <v>4449</v>
          </cell>
          <cell r="AJ193">
            <v>2546</v>
          </cell>
          <cell r="AL193">
            <v>2786</v>
          </cell>
          <cell r="AP193">
            <v>4188</v>
          </cell>
          <cell r="DN193">
            <v>602095</v>
          </cell>
          <cell r="DO193">
            <v>193</v>
          </cell>
        </row>
        <row r="194">
          <cell r="A194" t="str">
            <v>Lancaster, PA Metro Area</v>
          </cell>
          <cell r="B194">
            <v>51387</v>
          </cell>
          <cell r="C194">
            <v>22793</v>
          </cell>
          <cell r="D194">
            <v>32187</v>
          </cell>
          <cell r="E194">
            <v>33883</v>
          </cell>
          <cell r="F194">
            <v>31368</v>
          </cell>
          <cell r="G194">
            <v>27662</v>
          </cell>
          <cell r="H194">
            <v>12843</v>
          </cell>
          <cell r="I194">
            <v>39134</v>
          </cell>
          <cell r="J194">
            <v>17817</v>
          </cell>
          <cell r="K194">
            <v>25675</v>
          </cell>
          <cell r="L194">
            <v>30524</v>
          </cell>
          <cell r="M194">
            <v>24716</v>
          </cell>
          <cell r="N194">
            <v>43057</v>
          </cell>
          <cell r="O194">
            <v>18461</v>
          </cell>
          <cell r="Q194">
            <v>25634</v>
          </cell>
          <cell r="R194">
            <v>13714</v>
          </cell>
          <cell r="S194">
            <v>40074</v>
          </cell>
          <cell r="T194">
            <v>12833</v>
          </cell>
          <cell r="U194">
            <v>12489</v>
          </cell>
          <cell r="V194">
            <v>3194</v>
          </cell>
          <cell r="DN194">
            <v>519445</v>
          </cell>
          <cell r="DO194">
            <v>194</v>
          </cell>
        </row>
        <row r="195">
          <cell r="A195" t="str">
            <v>Lansing-East Lansing, MI Metro Area</v>
          </cell>
          <cell r="B195">
            <v>11001</v>
          </cell>
          <cell r="C195">
            <v>36036</v>
          </cell>
          <cell r="D195">
            <v>46344</v>
          </cell>
          <cell r="E195">
            <v>47697</v>
          </cell>
          <cell r="F195">
            <v>58222</v>
          </cell>
          <cell r="G195">
            <v>26568</v>
          </cell>
          <cell r="H195">
            <v>30414</v>
          </cell>
          <cell r="I195">
            <v>38940</v>
          </cell>
          <cell r="J195">
            <v>18750</v>
          </cell>
          <cell r="K195">
            <v>5723</v>
          </cell>
          <cell r="L195">
            <v>4236</v>
          </cell>
          <cell r="M195">
            <v>14191</v>
          </cell>
          <cell r="N195">
            <v>11227</v>
          </cell>
          <cell r="O195">
            <v>12206</v>
          </cell>
          <cell r="P195">
            <v>8576</v>
          </cell>
          <cell r="Q195">
            <v>6455</v>
          </cell>
          <cell r="R195">
            <v>8501</v>
          </cell>
          <cell r="S195">
            <v>6708</v>
          </cell>
          <cell r="T195">
            <v>27691</v>
          </cell>
          <cell r="U195">
            <v>11595</v>
          </cell>
          <cell r="V195">
            <v>4240</v>
          </cell>
          <cell r="X195">
            <v>3660</v>
          </cell>
          <cell r="Y195">
            <v>6249</v>
          </cell>
          <cell r="Z195">
            <v>5408</v>
          </cell>
          <cell r="AA195">
            <v>8406</v>
          </cell>
          <cell r="AD195">
            <v>4992</v>
          </cell>
          <cell r="DN195">
            <v>464036</v>
          </cell>
          <cell r="DO195">
            <v>195</v>
          </cell>
        </row>
        <row r="196">
          <cell r="A196" t="str">
            <v>Laredo, TX Metro Area</v>
          </cell>
          <cell r="B196">
            <v>14634</v>
          </cell>
          <cell r="C196">
            <v>34016</v>
          </cell>
          <cell r="D196">
            <v>42305</v>
          </cell>
          <cell r="E196">
            <v>38807</v>
          </cell>
          <cell r="F196">
            <v>39801</v>
          </cell>
          <cell r="G196">
            <v>36155</v>
          </cell>
          <cell r="H196">
            <v>25168</v>
          </cell>
          <cell r="I196">
            <v>5208</v>
          </cell>
          <cell r="K196">
            <v>6194</v>
          </cell>
          <cell r="N196">
            <v>3284</v>
          </cell>
          <cell r="P196">
            <v>2058</v>
          </cell>
          <cell r="W196">
            <v>944</v>
          </cell>
          <cell r="Z196">
            <v>1730</v>
          </cell>
          <cell r="DN196">
            <v>250304</v>
          </cell>
          <cell r="DO196">
            <v>196</v>
          </cell>
        </row>
        <row r="197">
          <cell r="A197" t="str">
            <v>Las Cruces, NM Metro Area</v>
          </cell>
          <cell r="B197">
            <v>8700</v>
          </cell>
          <cell r="C197">
            <v>32172</v>
          </cell>
          <cell r="D197">
            <v>34882</v>
          </cell>
          <cell r="E197">
            <v>8932</v>
          </cell>
          <cell r="F197">
            <v>32037</v>
          </cell>
          <cell r="G197">
            <v>9934</v>
          </cell>
          <cell r="I197">
            <v>7724</v>
          </cell>
          <cell r="J197">
            <v>6369</v>
          </cell>
          <cell r="M197">
            <v>5078</v>
          </cell>
          <cell r="N197">
            <v>9625</v>
          </cell>
          <cell r="S197">
            <v>1702</v>
          </cell>
          <cell r="U197">
            <v>6354</v>
          </cell>
          <cell r="V197">
            <v>1691</v>
          </cell>
          <cell r="Y197">
            <v>9788</v>
          </cell>
          <cell r="AB197">
            <v>3029</v>
          </cell>
          <cell r="AD197">
            <v>6965</v>
          </cell>
          <cell r="AH197">
            <v>5842</v>
          </cell>
          <cell r="AJ197">
            <v>5719</v>
          </cell>
          <cell r="AL197">
            <v>8941</v>
          </cell>
          <cell r="AM197">
            <v>3749</v>
          </cell>
          <cell r="DN197">
            <v>209233</v>
          </cell>
          <cell r="DO197">
            <v>197</v>
          </cell>
        </row>
        <row r="198">
          <cell r="A198" t="str">
            <v>Las Vegas-Paradise, NV Metro Area</v>
          </cell>
          <cell r="B198">
            <v>20294</v>
          </cell>
          <cell r="C198">
            <v>58423</v>
          </cell>
          <cell r="D198">
            <v>113999</v>
          </cell>
          <cell r="E198">
            <v>134542</v>
          </cell>
          <cell r="F198">
            <v>176560</v>
          </cell>
          <cell r="G198">
            <v>207974</v>
          </cell>
          <cell r="H198">
            <v>174142</v>
          </cell>
          <cell r="I198">
            <v>181490</v>
          </cell>
          <cell r="J198">
            <v>117021</v>
          </cell>
          <cell r="K198">
            <v>163341</v>
          </cell>
          <cell r="L198">
            <v>158361</v>
          </cell>
          <cell r="M198">
            <v>139953</v>
          </cell>
          <cell r="N198">
            <v>64354</v>
          </cell>
          <cell r="O198">
            <v>100416</v>
          </cell>
          <cell r="P198">
            <v>34959</v>
          </cell>
          <cell r="Q198">
            <v>21168</v>
          </cell>
          <cell r="R198">
            <v>21389</v>
          </cell>
          <cell r="W198">
            <v>7313</v>
          </cell>
          <cell r="X198">
            <v>13830</v>
          </cell>
          <cell r="AC198">
            <v>6314</v>
          </cell>
          <cell r="AP198">
            <v>990</v>
          </cell>
          <cell r="AS198">
            <v>1433</v>
          </cell>
          <cell r="AU198">
            <v>4657</v>
          </cell>
          <cell r="AV198">
            <v>1488</v>
          </cell>
          <cell r="AW198">
            <v>1440</v>
          </cell>
          <cell r="BO198">
            <v>4247</v>
          </cell>
          <cell r="BU198">
            <v>1645</v>
          </cell>
          <cell r="BV198">
            <v>3583</v>
          </cell>
          <cell r="BW198">
            <v>3762</v>
          </cell>
          <cell r="BX198">
            <v>2151</v>
          </cell>
          <cell r="BY198">
            <v>2484</v>
          </cell>
          <cell r="CA198">
            <v>7546</v>
          </cell>
          <cell r="DN198">
            <v>1951269</v>
          </cell>
          <cell r="DO198">
            <v>198</v>
          </cell>
        </row>
        <row r="199">
          <cell r="A199" t="str">
            <v>Lawrence, KS Metro Area</v>
          </cell>
          <cell r="B199">
            <v>18807</v>
          </cell>
          <cell r="C199">
            <v>16065</v>
          </cell>
          <cell r="D199">
            <v>20717</v>
          </cell>
          <cell r="E199">
            <v>32515</v>
          </cell>
          <cell r="H199">
            <v>4165</v>
          </cell>
          <cell r="I199">
            <v>7295</v>
          </cell>
          <cell r="K199">
            <v>4611</v>
          </cell>
          <cell r="O199">
            <v>6651</v>
          </cell>
          <cell r="DN199">
            <v>110826</v>
          </cell>
          <cell r="DO199">
            <v>199</v>
          </cell>
        </row>
        <row r="200">
          <cell r="A200" t="str">
            <v>Lawton, OK Metro Area</v>
          </cell>
          <cell r="B200">
            <v>7467</v>
          </cell>
          <cell r="C200">
            <v>14482</v>
          </cell>
          <cell r="D200">
            <v>14521</v>
          </cell>
          <cell r="E200">
            <v>39881</v>
          </cell>
          <cell r="F200">
            <v>13001</v>
          </cell>
          <cell r="G200">
            <v>8924</v>
          </cell>
          <cell r="J200">
            <v>5919</v>
          </cell>
          <cell r="K200">
            <v>2091</v>
          </cell>
          <cell r="M200">
            <v>5940</v>
          </cell>
          <cell r="Q200">
            <v>11872</v>
          </cell>
          <cell r="DN200">
            <v>124098</v>
          </cell>
          <cell r="DO200">
            <v>200</v>
          </cell>
        </row>
        <row r="201">
          <cell r="A201" t="str">
            <v>Lebanon, PA Metro Area</v>
          </cell>
          <cell r="B201">
            <v>16589</v>
          </cell>
          <cell r="C201">
            <v>22375</v>
          </cell>
          <cell r="D201">
            <v>17819</v>
          </cell>
          <cell r="F201">
            <v>11051</v>
          </cell>
          <cell r="G201">
            <v>2850</v>
          </cell>
          <cell r="H201">
            <v>20066</v>
          </cell>
          <cell r="I201">
            <v>9076</v>
          </cell>
          <cell r="J201">
            <v>18210</v>
          </cell>
          <cell r="K201">
            <v>10121</v>
          </cell>
          <cell r="L201">
            <v>5411</v>
          </cell>
          <cell r="DN201">
            <v>133568</v>
          </cell>
          <cell r="DO201">
            <v>201</v>
          </cell>
        </row>
        <row r="202">
          <cell r="A202" t="str">
            <v>Lewiston, ID-WA Metro Area</v>
          </cell>
          <cell r="B202">
            <v>8136</v>
          </cell>
          <cell r="C202">
            <v>15738</v>
          </cell>
          <cell r="D202">
            <v>5578</v>
          </cell>
          <cell r="E202">
            <v>16839</v>
          </cell>
          <cell r="F202">
            <v>5347</v>
          </cell>
          <cell r="I202">
            <v>4304</v>
          </cell>
          <cell r="P202">
            <v>4601</v>
          </cell>
          <cell r="Y202">
            <v>345</v>
          </cell>
          <cell r="DN202">
            <v>60888</v>
          </cell>
          <cell r="DO202">
            <v>202</v>
          </cell>
        </row>
        <row r="203">
          <cell r="A203" t="str">
            <v>Lewiston-Auburn, ME Metro Area</v>
          </cell>
          <cell r="B203">
            <v>19525</v>
          </cell>
          <cell r="C203">
            <v>14709</v>
          </cell>
          <cell r="D203">
            <v>11722</v>
          </cell>
          <cell r="E203">
            <v>13691</v>
          </cell>
          <cell r="I203">
            <v>21104</v>
          </cell>
          <cell r="J203">
            <v>5376</v>
          </cell>
          <cell r="K203">
            <v>4385</v>
          </cell>
          <cell r="L203">
            <v>3848</v>
          </cell>
          <cell r="N203">
            <v>5734</v>
          </cell>
          <cell r="O203">
            <v>2326</v>
          </cell>
          <cell r="W203">
            <v>2095</v>
          </cell>
          <cell r="Z203">
            <v>3187</v>
          </cell>
          <cell r="DN203">
            <v>107702</v>
          </cell>
          <cell r="DO203">
            <v>203</v>
          </cell>
        </row>
        <row r="204">
          <cell r="A204" t="str">
            <v>Lexington-Fayette, KY Metro Area</v>
          </cell>
          <cell r="B204">
            <v>19266</v>
          </cell>
          <cell r="C204">
            <v>41558</v>
          </cell>
          <cell r="D204">
            <v>45238</v>
          </cell>
          <cell r="E204">
            <v>54868</v>
          </cell>
          <cell r="F204">
            <v>63177</v>
          </cell>
          <cell r="G204">
            <v>46943</v>
          </cell>
          <cell r="H204">
            <v>17961</v>
          </cell>
          <cell r="I204">
            <v>5067</v>
          </cell>
          <cell r="K204">
            <v>13096</v>
          </cell>
          <cell r="L204">
            <v>1725</v>
          </cell>
          <cell r="M204">
            <v>36818</v>
          </cell>
          <cell r="N204">
            <v>24279</v>
          </cell>
          <cell r="O204">
            <v>20341</v>
          </cell>
          <cell r="P204">
            <v>14581</v>
          </cell>
          <cell r="Q204">
            <v>10720</v>
          </cell>
          <cell r="R204">
            <v>19385</v>
          </cell>
          <cell r="S204">
            <v>10512</v>
          </cell>
          <cell r="T204">
            <v>7389</v>
          </cell>
          <cell r="V204">
            <v>9104</v>
          </cell>
          <cell r="X204">
            <v>2503</v>
          </cell>
          <cell r="Y204">
            <v>2180</v>
          </cell>
          <cell r="Z204">
            <v>5388</v>
          </cell>
          <cell r="DN204">
            <v>472099</v>
          </cell>
          <cell r="DO204">
            <v>204</v>
          </cell>
        </row>
        <row r="205">
          <cell r="A205" t="str">
            <v>Lima, OH Metro Area</v>
          </cell>
          <cell r="B205">
            <v>13431</v>
          </cell>
          <cell r="C205">
            <v>21174</v>
          </cell>
          <cell r="D205">
            <v>16524</v>
          </cell>
          <cell r="E205">
            <v>7559</v>
          </cell>
          <cell r="F205">
            <v>16305</v>
          </cell>
          <cell r="G205">
            <v>3455</v>
          </cell>
          <cell r="H205">
            <v>1676</v>
          </cell>
          <cell r="J205">
            <v>3056</v>
          </cell>
          <cell r="K205">
            <v>6893</v>
          </cell>
          <cell r="M205">
            <v>5138</v>
          </cell>
          <cell r="N205">
            <v>6715</v>
          </cell>
          <cell r="Q205">
            <v>4405</v>
          </cell>
          <cell r="DN205">
            <v>106331</v>
          </cell>
          <cell r="DO205">
            <v>205</v>
          </cell>
        </row>
        <row r="206">
          <cell r="A206" t="str">
            <v>Lincoln, NE Metro Area</v>
          </cell>
          <cell r="B206">
            <v>13356</v>
          </cell>
          <cell r="C206">
            <v>48552</v>
          </cell>
          <cell r="D206">
            <v>43732</v>
          </cell>
          <cell r="E206">
            <v>52038</v>
          </cell>
          <cell r="F206">
            <v>56246</v>
          </cell>
          <cell r="G206">
            <v>37637</v>
          </cell>
          <cell r="H206">
            <v>6665</v>
          </cell>
          <cell r="I206">
            <v>5087</v>
          </cell>
          <cell r="K206">
            <v>4388</v>
          </cell>
          <cell r="M206">
            <v>9885</v>
          </cell>
          <cell r="O206">
            <v>7821</v>
          </cell>
          <cell r="V206">
            <v>4988</v>
          </cell>
          <cell r="W206">
            <v>7384</v>
          </cell>
          <cell r="Z206">
            <v>4378</v>
          </cell>
          <cell r="DN206">
            <v>302157</v>
          </cell>
          <cell r="DO206">
            <v>206</v>
          </cell>
        </row>
        <row r="207">
          <cell r="A207" t="str">
            <v>Little Rock-North Little Rock-Conway, AR Metro Area</v>
          </cell>
          <cell r="B207">
            <v>2949</v>
          </cell>
          <cell r="C207">
            <v>20295</v>
          </cell>
          <cell r="D207">
            <v>25614</v>
          </cell>
          <cell r="E207">
            <v>44415</v>
          </cell>
          <cell r="F207">
            <v>25258</v>
          </cell>
          <cell r="G207">
            <v>28130</v>
          </cell>
          <cell r="H207">
            <v>49558</v>
          </cell>
          <cell r="I207">
            <v>23224</v>
          </cell>
          <cell r="J207">
            <v>35743</v>
          </cell>
          <cell r="K207">
            <v>36756</v>
          </cell>
          <cell r="L207">
            <v>21254</v>
          </cell>
          <cell r="M207">
            <v>37546</v>
          </cell>
          <cell r="N207">
            <v>16818</v>
          </cell>
          <cell r="O207">
            <v>9873</v>
          </cell>
          <cell r="P207">
            <v>13564</v>
          </cell>
          <cell r="Q207">
            <v>23614</v>
          </cell>
          <cell r="R207">
            <v>8723</v>
          </cell>
          <cell r="S207">
            <v>7537</v>
          </cell>
          <cell r="T207">
            <v>25879</v>
          </cell>
          <cell r="U207">
            <v>17508</v>
          </cell>
          <cell r="V207">
            <v>27839</v>
          </cell>
          <cell r="W207">
            <v>6788</v>
          </cell>
          <cell r="X207">
            <v>43669</v>
          </cell>
          <cell r="Y207">
            <v>9217</v>
          </cell>
          <cell r="Z207">
            <v>20407</v>
          </cell>
          <cell r="AA207">
            <v>22213</v>
          </cell>
          <cell r="AB207">
            <v>9747</v>
          </cell>
          <cell r="AC207">
            <v>13110</v>
          </cell>
          <cell r="AD207">
            <v>16281</v>
          </cell>
          <cell r="AE207">
            <v>8103</v>
          </cell>
          <cell r="AF207">
            <v>1318</v>
          </cell>
          <cell r="AG207">
            <v>3296</v>
          </cell>
          <cell r="AH207">
            <v>10452</v>
          </cell>
          <cell r="AI207">
            <v>9249</v>
          </cell>
          <cell r="AJ207">
            <v>4872</v>
          </cell>
          <cell r="AK207">
            <v>7347</v>
          </cell>
          <cell r="AL207">
            <v>6659</v>
          </cell>
          <cell r="AO207">
            <v>3122</v>
          </cell>
          <cell r="AU207">
            <v>1810</v>
          </cell>
          <cell r="DN207">
            <v>699757</v>
          </cell>
          <cell r="DO207">
            <v>207</v>
          </cell>
        </row>
        <row r="208">
          <cell r="A208" t="str">
            <v>Logan, UT-ID Metro Area</v>
          </cell>
          <cell r="B208">
            <v>17857</v>
          </cell>
          <cell r="C208">
            <v>22275</v>
          </cell>
          <cell r="D208">
            <v>13454</v>
          </cell>
          <cell r="E208">
            <v>21319</v>
          </cell>
          <cell r="F208">
            <v>5387</v>
          </cell>
          <cell r="G208">
            <v>105</v>
          </cell>
          <cell r="H208">
            <v>6953</v>
          </cell>
          <cell r="I208">
            <v>17106</v>
          </cell>
          <cell r="M208">
            <v>2038</v>
          </cell>
          <cell r="P208">
            <v>4599</v>
          </cell>
          <cell r="R208">
            <v>1563</v>
          </cell>
          <cell r="X208">
            <v>6718</v>
          </cell>
          <cell r="AC208">
            <v>6068</v>
          </cell>
          <cell r="DN208">
            <v>125442</v>
          </cell>
          <cell r="DO208">
            <v>208</v>
          </cell>
        </row>
        <row r="209">
          <cell r="A209" t="str">
            <v>Longview, TX Metro Area</v>
          </cell>
          <cell r="C209">
            <v>23617</v>
          </cell>
          <cell r="D209">
            <v>21321</v>
          </cell>
          <cell r="E209">
            <v>18077</v>
          </cell>
          <cell r="F209">
            <v>10430</v>
          </cell>
          <cell r="G209">
            <v>5023</v>
          </cell>
          <cell r="H209">
            <v>11522</v>
          </cell>
          <cell r="I209">
            <v>4879</v>
          </cell>
          <cell r="K209">
            <v>5674</v>
          </cell>
          <cell r="L209">
            <v>20663</v>
          </cell>
          <cell r="M209">
            <v>14348</v>
          </cell>
          <cell r="O209">
            <v>3950</v>
          </cell>
          <cell r="P209">
            <v>5779</v>
          </cell>
          <cell r="T209">
            <v>8459</v>
          </cell>
          <cell r="U209">
            <v>5384</v>
          </cell>
          <cell r="V209">
            <v>18518</v>
          </cell>
          <cell r="W209">
            <v>4481</v>
          </cell>
          <cell r="X209">
            <v>5512</v>
          </cell>
          <cell r="Z209">
            <v>7779</v>
          </cell>
          <cell r="AA209">
            <v>5138</v>
          </cell>
          <cell r="AC209">
            <v>8286</v>
          </cell>
          <cell r="AN209">
            <v>2799</v>
          </cell>
          <cell r="AQ209">
            <v>2730</v>
          </cell>
          <cell r="DN209">
            <v>214369</v>
          </cell>
          <cell r="DO209">
            <v>209</v>
          </cell>
        </row>
        <row r="210">
          <cell r="A210" t="str">
            <v>Longview, WA Metro Area</v>
          </cell>
          <cell r="B210">
            <v>10932</v>
          </cell>
          <cell r="C210">
            <v>28948</v>
          </cell>
          <cell r="D210">
            <v>7992</v>
          </cell>
          <cell r="E210">
            <v>14037</v>
          </cell>
          <cell r="F210">
            <v>1601</v>
          </cell>
          <cell r="G210">
            <v>5169</v>
          </cell>
          <cell r="I210">
            <v>5118</v>
          </cell>
          <cell r="L210">
            <v>9939</v>
          </cell>
          <cell r="M210">
            <v>6062</v>
          </cell>
          <cell r="R210">
            <v>1689</v>
          </cell>
          <cell r="S210">
            <v>7918</v>
          </cell>
          <cell r="W210">
            <v>3005</v>
          </cell>
          <cell r="DN210">
            <v>102410</v>
          </cell>
          <cell r="DO210">
            <v>210</v>
          </cell>
        </row>
        <row r="211">
          <cell r="A211" t="str">
            <v>Los Angeles-Long Beach-Santa Ana, CA Metro Area</v>
          </cell>
          <cell r="B211">
            <v>46415</v>
          </cell>
          <cell r="C211">
            <v>132514</v>
          </cell>
          <cell r="D211">
            <v>257127</v>
          </cell>
          <cell r="E211">
            <v>352933</v>
          </cell>
          <cell r="F211">
            <v>357752</v>
          </cell>
          <cell r="G211">
            <v>456117</v>
          </cell>
          <cell r="H211">
            <v>504497</v>
          </cell>
          <cell r="I211">
            <v>412767</v>
          </cell>
          <cell r="J211">
            <v>435703</v>
          </cell>
          <cell r="K211">
            <v>490581</v>
          </cell>
          <cell r="L211">
            <v>514265</v>
          </cell>
          <cell r="M211">
            <v>568681</v>
          </cell>
          <cell r="N211">
            <v>430647</v>
          </cell>
          <cell r="O211">
            <v>507820</v>
          </cell>
          <cell r="P211">
            <v>426327</v>
          </cell>
          <cell r="Q211">
            <v>420690</v>
          </cell>
          <cell r="R211">
            <v>403606</v>
          </cell>
          <cell r="S211">
            <v>419513</v>
          </cell>
          <cell r="T211">
            <v>423599</v>
          </cell>
          <cell r="U211">
            <v>465367</v>
          </cell>
          <cell r="V211">
            <v>399434</v>
          </cell>
          <cell r="W211">
            <v>376476</v>
          </cell>
          <cell r="X211">
            <v>317714</v>
          </cell>
          <cell r="Y211">
            <v>267692</v>
          </cell>
          <cell r="Z211">
            <v>268742</v>
          </cell>
          <cell r="AA211">
            <v>203433</v>
          </cell>
          <cell r="AB211">
            <v>183393</v>
          </cell>
          <cell r="AC211">
            <v>257021</v>
          </cell>
          <cell r="AD211">
            <v>256408</v>
          </cell>
          <cell r="AE211">
            <v>261108</v>
          </cell>
          <cell r="AF211">
            <v>240867</v>
          </cell>
          <cell r="AG211">
            <v>194256</v>
          </cell>
          <cell r="AH211">
            <v>142815</v>
          </cell>
          <cell r="AI211">
            <v>115112</v>
          </cell>
          <cell r="AJ211">
            <v>68312</v>
          </cell>
          <cell r="AK211">
            <v>126597</v>
          </cell>
          <cell r="AL211">
            <v>142859</v>
          </cell>
          <cell r="AM211">
            <v>121283</v>
          </cell>
          <cell r="AN211">
            <v>30615</v>
          </cell>
          <cell r="AO211">
            <v>54188</v>
          </cell>
          <cell r="AP211">
            <v>12176</v>
          </cell>
          <cell r="AQ211">
            <v>22825</v>
          </cell>
          <cell r="AR211">
            <v>77958</v>
          </cell>
          <cell r="AS211">
            <v>98179</v>
          </cell>
          <cell r="AT211">
            <v>116923</v>
          </cell>
          <cell r="AU211">
            <v>112778</v>
          </cell>
          <cell r="AV211">
            <v>49694</v>
          </cell>
          <cell r="AW211">
            <v>52674</v>
          </cell>
          <cell r="AX211">
            <v>64441</v>
          </cell>
          <cell r="AY211">
            <v>31901</v>
          </cell>
          <cell r="AZ211">
            <v>36735</v>
          </cell>
          <cell r="BA211">
            <v>21877</v>
          </cell>
          <cell r="BB211">
            <v>7272</v>
          </cell>
          <cell r="BC211">
            <v>16063</v>
          </cell>
          <cell r="BD211">
            <v>21779</v>
          </cell>
          <cell r="BF211">
            <v>19180</v>
          </cell>
          <cell r="BG211">
            <v>7418</v>
          </cell>
          <cell r="BH211">
            <v>3718</v>
          </cell>
          <cell r="DN211">
            <v>12828837</v>
          </cell>
          <cell r="DO211">
            <v>211</v>
          </cell>
        </row>
        <row r="212">
          <cell r="A212" t="str">
            <v>Louisville/Jefferson County, KY-IN Metro Area</v>
          </cell>
          <cell r="B212">
            <v>9481</v>
          </cell>
          <cell r="C212">
            <v>39379</v>
          </cell>
          <cell r="D212">
            <v>57742</v>
          </cell>
          <cell r="E212">
            <v>66869</v>
          </cell>
          <cell r="F212">
            <v>80710</v>
          </cell>
          <cell r="G212">
            <v>78275</v>
          </cell>
          <cell r="H212">
            <v>58876</v>
          </cell>
          <cell r="I212">
            <v>83501</v>
          </cell>
          <cell r="J212">
            <v>70888</v>
          </cell>
          <cell r="K212">
            <v>98346</v>
          </cell>
          <cell r="L212">
            <v>66641</v>
          </cell>
          <cell r="M212">
            <v>82326</v>
          </cell>
          <cell r="N212">
            <v>52966</v>
          </cell>
          <cell r="O212">
            <v>29364</v>
          </cell>
          <cell r="P212">
            <v>56295</v>
          </cell>
          <cell r="Q212">
            <v>21856</v>
          </cell>
          <cell r="R212">
            <v>15093</v>
          </cell>
          <cell r="S212">
            <v>27060</v>
          </cell>
          <cell r="T212">
            <v>14544</v>
          </cell>
          <cell r="U212">
            <v>36771</v>
          </cell>
          <cell r="V212">
            <v>15598</v>
          </cell>
          <cell r="W212">
            <v>16601</v>
          </cell>
          <cell r="X212">
            <v>28159</v>
          </cell>
          <cell r="Y212">
            <v>4490</v>
          </cell>
          <cell r="Z212">
            <v>8614</v>
          </cell>
          <cell r="AA212">
            <v>2933</v>
          </cell>
          <cell r="AB212">
            <v>9354</v>
          </cell>
          <cell r="AC212">
            <v>5525</v>
          </cell>
          <cell r="AD212">
            <v>20682</v>
          </cell>
          <cell r="AE212">
            <v>17966</v>
          </cell>
          <cell r="AF212">
            <v>22522</v>
          </cell>
          <cell r="AG212">
            <v>5246</v>
          </cell>
          <cell r="AH212">
            <v>19777</v>
          </cell>
          <cell r="AJ212">
            <v>20742</v>
          </cell>
          <cell r="AK212">
            <v>7090</v>
          </cell>
          <cell r="AL212">
            <v>7996</v>
          </cell>
          <cell r="AM212">
            <v>16873</v>
          </cell>
          <cell r="AO212">
            <v>2870</v>
          </cell>
          <cell r="AR212">
            <v>3545</v>
          </cell>
          <cell r="DN212">
            <v>1283566</v>
          </cell>
          <cell r="DO212">
            <v>212</v>
          </cell>
        </row>
        <row r="213">
          <cell r="A213" t="str">
            <v>Lubbock, TX Metro Area</v>
          </cell>
          <cell r="B213">
            <v>11582</v>
          </cell>
          <cell r="C213">
            <v>26889</v>
          </cell>
          <cell r="D213">
            <v>35594</v>
          </cell>
          <cell r="E213">
            <v>40900</v>
          </cell>
          <cell r="F213">
            <v>43772</v>
          </cell>
          <cell r="G213">
            <v>36566</v>
          </cell>
          <cell r="H213">
            <v>29919</v>
          </cell>
          <cell r="I213">
            <v>7179</v>
          </cell>
          <cell r="J213">
            <v>9992</v>
          </cell>
          <cell r="K213">
            <v>13050</v>
          </cell>
          <cell r="L213">
            <v>10404</v>
          </cell>
          <cell r="M213">
            <v>6926</v>
          </cell>
          <cell r="Q213">
            <v>6058</v>
          </cell>
          <cell r="U213">
            <v>1479</v>
          </cell>
          <cell r="AC213">
            <v>2346</v>
          </cell>
          <cell r="AL213">
            <v>2234</v>
          </cell>
          <cell r="DN213">
            <v>284890</v>
          </cell>
          <cell r="DO213">
            <v>213</v>
          </cell>
        </row>
        <row r="214">
          <cell r="A214" t="str">
            <v>Lynchburg, VA Metro Area</v>
          </cell>
          <cell r="B214">
            <v>5339</v>
          </cell>
          <cell r="C214">
            <v>15069</v>
          </cell>
          <cell r="D214">
            <v>10901</v>
          </cell>
          <cell r="E214">
            <v>24321</v>
          </cell>
          <cell r="F214">
            <v>18942</v>
          </cell>
          <cell r="G214">
            <v>9100</v>
          </cell>
          <cell r="H214">
            <v>19089</v>
          </cell>
          <cell r="I214">
            <v>24496</v>
          </cell>
          <cell r="J214">
            <v>4374</v>
          </cell>
          <cell r="K214">
            <v>2915</v>
          </cell>
          <cell r="M214">
            <v>32614</v>
          </cell>
          <cell r="O214">
            <v>4202</v>
          </cell>
          <cell r="Q214">
            <v>5288</v>
          </cell>
          <cell r="R214">
            <v>6450</v>
          </cell>
          <cell r="S214">
            <v>3739</v>
          </cell>
          <cell r="T214">
            <v>9005</v>
          </cell>
          <cell r="U214">
            <v>3913</v>
          </cell>
          <cell r="W214">
            <v>9674</v>
          </cell>
          <cell r="X214">
            <v>7226</v>
          </cell>
          <cell r="Y214">
            <v>6790</v>
          </cell>
          <cell r="Z214">
            <v>3830</v>
          </cell>
          <cell r="AD214">
            <v>4075</v>
          </cell>
          <cell r="AG214">
            <v>3311</v>
          </cell>
          <cell r="AH214">
            <v>2688</v>
          </cell>
          <cell r="AI214">
            <v>5428</v>
          </cell>
          <cell r="AJ214">
            <v>3502</v>
          </cell>
          <cell r="AK214">
            <v>2685</v>
          </cell>
          <cell r="AN214">
            <v>3668</v>
          </cell>
          <cell r="DN214">
            <v>252634</v>
          </cell>
          <cell r="DO214">
            <v>214</v>
          </cell>
        </row>
        <row r="215">
          <cell r="A215" t="str">
            <v>Macon, GA Metro Area</v>
          </cell>
          <cell r="B215">
            <v>4548</v>
          </cell>
          <cell r="C215">
            <v>18484</v>
          </cell>
          <cell r="D215">
            <v>22569</v>
          </cell>
          <cell r="E215">
            <v>23402</v>
          </cell>
          <cell r="F215">
            <v>20260</v>
          </cell>
          <cell r="G215">
            <v>17616</v>
          </cell>
          <cell r="H215">
            <v>9003</v>
          </cell>
          <cell r="I215">
            <v>11913</v>
          </cell>
          <cell r="J215">
            <v>26664</v>
          </cell>
          <cell r="K215">
            <v>12738</v>
          </cell>
          <cell r="N215">
            <v>12855</v>
          </cell>
          <cell r="O215">
            <v>11540</v>
          </cell>
          <cell r="Q215">
            <v>5851</v>
          </cell>
          <cell r="R215">
            <v>3319</v>
          </cell>
          <cell r="S215">
            <v>4671</v>
          </cell>
          <cell r="U215">
            <v>3951</v>
          </cell>
          <cell r="X215">
            <v>7362</v>
          </cell>
          <cell r="Y215">
            <v>5729</v>
          </cell>
          <cell r="Z215">
            <v>3651</v>
          </cell>
          <cell r="AE215">
            <v>6167</v>
          </cell>
          <cell r="DN215">
            <v>232293</v>
          </cell>
          <cell r="DO215">
            <v>215</v>
          </cell>
        </row>
        <row r="216">
          <cell r="A216" t="str">
            <v>Madera-Chowchilla, CA Metro Area</v>
          </cell>
          <cell r="B216">
            <v>21800</v>
          </cell>
          <cell r="C216">
            <v>32301</v>
          </cell>
          <cell r="D216">
            <v>8539</v>
          </cell>
          <cell r="E216">
            <v>16984</v>
          </cell>
          <cell r="F216">
            <v>6878</v>
          </cell>
          <cell r="H216">
            <v>5319</v>
          </cell>
          <cell r="L216">
            <v>14984</v>
          </cell>
          <cell r="P216">
            <v>6109</v>
          </cell>
          <cell r="Q216">
            <v>8213</v>
          </cell>
          <cell r="T216">
            <v>1288</v>
          </cell>
          <cell r="X216">
            <v>7413</v>
          </cell>
          <cell r="AD216">
            <v>7068</v>
          </cell>
          <cell r="AJ216">
            <v>8936</v>
          </cell>
          <cell r="AK216">
            <v>5033</v>
          </cell>
          <cell r="DN216">
            <v>150865</v>
          </cell>
          <cell r="DO216">
            <v>216</v>
          </cell>
        </row>
        <row r="217">
          <cell r="A217" t="str">
            <v>Madison, WI Metro Area</v>
          </cell>
          <cell r="B217">
            <v>26610</v>
          </cell>
          <cell r="C217">
            <v>25078</v>
          </cell>
          <cell r="D217">
            <v>44566</v>
          </cell>
          <cell r="E217">
            <v>38579</v>
          </cell>
          <cell r="F217">
            <v>47439</v>
          </cell>
          <cell r="G217">
            <v>43643</v>
          </cell>
          <cell r="H217">
            <v>59839</v>
          </cell>
          <cell r="I217">
            <v>14847</v>
          </cell>
          <cell r="J217">
            <v>30881</v>
          </cell>
          <cell r="K217">
            <v>37308</v>
          </cell>
          <cell r="L217">
            <v>23698</v>
          </cell>
          <cell r="M217">
            <v>17223</v>
          </cell>
          <cell r="N217">
            <v>27356</v>
          </cell>
          <cell r="O217">
            <v>11525</v>
          </cell>
          <cell r="R217">
            <v>14836</v>
          </cell>
          <cell r="S217">
            <v>5890</v>
          </cell>
          <cell r="T217">
            <v>11555</v>
          </cell>
          <cell r="U217">
            <v>5605</v>
          </cell>
          <cell r="V217">
            <v>11895</v>
          </cell>
          <cell r="Y217">
            <v>4206</v>
          </cell>
          <cell r="Z217">
            <v>3971</v>
          </cell>
          <cell r="AA217">
            <v>5200</v>
          </cell>
          <cell r="AB217">
            <v>3622</v>
          </cell>
          <cell r="AE217">
            <v>4755</v>
          </cell>
          <cell r="AF217">
            <v>8385</v>
          </cell>
          <cell r="AH217">
            <v>5868</v>
          </cell>
          <cell r="AI217">
            <v>10873</v>
          </cell>
          <cell r="AL217">
            <v>4153</v>
          </cell>
          <cell r="AN217">
            <v>5288</v>
          </cell>
          <cell r="AQ217">
            <v>4008</v>
          </cell>
          <cell r="AR217">
            <v>3496</v>
          </cell>
          <cell r="AX217">
            <v>6395</v>
          </cell>
          <cell r="DN217">
            <v>568593</v>
          </cell>
          <cell r="DO217">
            <v>217</v>
          </cell>
        </row>
        <row r="218">
          <cell r="A218" t="str">
            <v>Manchester-Nashua, NH Metro Area</v>
          </cell>
          <cell r="B218">
            <v>33159</v>
          </cell>
          <cell r="C218">
            <v>35828</v>
          </cell>
          <cell r="D218">
            <v>36620</v>
          </cell>
          <cell r="E218">
            <v>12284</v>
          </cell>
          <cell r="F218">
            <v>12832</v>
          </cell>
          <cell r="G218">
            <v>6029</v>
          </cell>
          <cell r="H218">
            <v>7860</v>
          </cell>
          <cell r="I218">
            <v>10069</v>
          </cell>
          <cell r="J218">
            <v>11507</v>
          </cell>
          <cell r="L218">
            <v>13592</v>
          </cell>
          <cell r="M218">
            <v>12990</v>
          </cell>
          <cell r="N218">
            <v>8345</v>
          </cell>
          <cell r="O218">
            <v>8201</v>
          </cell>
          <cell r="P218">
            <v>31282</v>
          </cell>
          <cell r="Q218">
            <v>20455</v>
          </cell>
          <cell r="R218">
            <v>32521</v>
          </cell>
          <cell r="S218">
            <v>21717</v>
          </cell>
          <cell r="T218">
            <v>31754</v>
          </cell>
          <cell r="U218">
            <v>10589</v>
          </cell>
          <cell r="V218">
            <v>15973</v>
          </cell>
          <cell r="X218">
            <v>1382</v>
          </cell>
          <cell r="Y218">
            <v>2105</v>
          </cell>
          <cell r="Z218">
            <v>6235</v>
          </cell>
          <cell r="AA218">
            <v>15738</v>
          </cell>
          <cell r="AB218">
            <v>1654</v>
          </cell>
          <cell r="DN218">
            <v>400721</v>
          </cell>
          <cell r="DO218">
            <v>218</v>
          </cell>
        </row>
        <row r="219">
          <cell r="A219" t="str">
            <v>Manhattan, KS Metro Area</v>
          </cell>
          <cell r="B219">
            <v>11393</v>
          </cell>
          <cell r="C219">
            <v>20459</v>
          </cell>
          <cell r="D219">
            <v>16796</v>
          </cell>
          <cell r="E219">
            <v>2984</v>
          </cell>
          <cell r="F219">
            <v>5707</v>
          </cell>
          <cell r="I219">
            <v>7359</v>
          </cell>
          <cell r="O219">
            <v>13994</v>
          </cell>
          <cell r="P219">
            <v>11169</v>
          </cell>
          <cell r="Q219">
            <v>2627</v>
          </cell>
          <cell r="R219">
            <v>2779</v>
          </cell>
          <cell r="S219">
            <v>10776</v>
          </cell>
          <cell r="T219">
            <v>12342</v>
          </cell>
          <cell r="W219">
            <v>4200</v>
          </cell>
          <cell r="AB219">
            <v>4496</v>
          </cell>
          <cell r="DN219">
            <v>127081</v>
          </cell>
          <cell r="DO219">
            <v>219</v>
          </cell>
        </row>
        <row r="220">
          <cell r="A220" t="str">
            <v>Mankato-North Mankato, MN Metro Area</v>
          </cell>
          <cell r="B220">
            <v>8700</v>
          </cell>
          <cell r="C220">
            <v>27733</v>
          </cell>
          <cell r="D220">
            <v>19507</v>
          </cell>
          <cell r="H220">
            <v>6974</v>
          </cell>
          <cell r="I220">
            <v>4635</v>
          </cell>
          <cell r="L220">
            <v>11437</v>
          </cell>
          <cell r="M220">
            <v>3359</v>
          </cell>
          <cell r="N220">
            <v>4588</v>
          </cell>
          <cell r="R220">
            <v>6393</v>
          </cell>
          <cell r="Y220">
            <v>3414</v>
          </cell>
          <cell r="DN220">
            <v>96740</v>
          </cell>
          <cell r="DO220">
            <v>220</v>
          </cell>
        </row>
        <row r="221">
          <cell r="A221" t="str">
            <v>Mansfield, OH Metro Area</v>
          </cell>
          <cell r="B221">
            <v>11912</v>
          </cell>
          <cell r="C221">
            <v>20659</v>
          </cell>
          <cell r="D221">
            <v>16224</v>
          </cell>
          <cell r="E221">
            <v>8803</v>
          </cell>
          <cell r="F221">
            <v>16475</v>
          </cell>
          <cell r="H221">
            <v>18939</v>
          </cell>
          <cell r="J221">
            <v>5242</v>
          </cell>
          <cell r="L221">
            <v>9489</v>
          </cell>
          <cell r="M221">
            <v>9125</v>
          </cell>
          <cell r="N221">
            <v>3877</v>
          </cell>
          <cell r="Q221">
            <v>3730</v>
          </cell>
          <cell r="DN221">
            <v>124475</v>
          </cell>
          <cell r="DO221">
            <v>221</v>
          </cell>
        </row>
        <row r="222">
          <cell r="A222" t="str">
            <v>McAllen-Edinburg-Mission, TX Metro Area</v>
          </cell>
          <cell r="B222">
            <v>8698</v>
          </cell>
          <cell r="C222">
            <v>30176</v>
          </cell>
          <cell r="D222">
            <v>36591</v>
          </cell>
          <cell r="E222">
            <v>74208</v>
          </cell>
          <cell r="F222">
            <v>37092</v>
          </cell>
          <cell r="G222">
            <v>94884</v>
          </cell>
          <cell r="H222">
            <v>60619</v>
          </cell>
          <cell r="I222">
            <v>58169</v>
          </cell>
          <cell r="J222">
            <v>40951</v>
          </cell>
          <cell r="K222">
            <v>59100</v>
          </cell>
          <cell r="L222">
            <v>47220</v>
          </cell>
          <cell r="M222">
            <v>12649</v>
          </cell>
          <cell r="N222">
            <v>40288</v>
          </cell>
          <cell r="O222">
            <v>26543</v>
          </cell>
          <cell r="P222">
            <v>21023</v>
          </cell>
          <cell r="Q222">
            <v>25899</v>
          </cell>
          <cell r="R222">
            <v>29836</v>
          </cell>
          <cell r="S222">
            <v>29251</v>
          </cell>
          <cell r="T222">
            <v>9129</v>
          </cell>
          <cell r="U222">
            <v>16560</v>
          </cell>
          <cell r="V222">
            <v>12647</v>
          </cell>
          <cell r="W222">
            <v>1641</v>
          </cell>
          <cell r="Z222">
            <v>1595</v>
          </cell>
          <cell r="DN222">
            <v>774769</v>
          </cell>
          <cell r="DO222">
            <v>222</v>
          </cell>
        </row>
        <row r="223">
          <cell r="A223" t="str">
            <v>Medford, OR Metro Area</v>
          </cell>
          <cell r="B223">
            <v>15966</v>
          </cell>
          <cell r="C223">
            <v>24326</v>
          </cell>
          <cell r="D223">
            <v>30784</v>
          </cell>
          <cell r="E223">
            <v>22190</v>
          </cell>
          <cell r="F223">
            <v>14903</v>
          </cell>
          <cell r="G223">
            <v>5689</v>
          </cell>
          <cell r="H223">
            <v>8950</v>
          </cell>
          <cell r="I223">
            <v>12382</v>
          </cell>
          <cell r="J223">
            <v>3824</v>
          </cell>
          <cell r="L223">
            <v>3822</v>
          </cell>
          <cell r="M223">
            <v>13898</v>
          </cell>
          <cell r="N223">
            <v>19458</v>
          </cell>
          <cell r="O223">
            <v>7519</v>
          </cell>
          <cell r="R223">
            <v>2547</v>
          </cell>
          <cell r="T223">
            <v>7258</v>
          </cell>
          <cell r="U223">
            <v>6921</v>
          </cell>
          <cell r="Z223">
            <v>2769</v>
          </cell>
          <cell r="DN223">
            <v>203206</v>
          </cell>
          <cell r="DO223">
            <v>223</v>
          </cell>
        </row>
        <row r="224">
          <cell r="A224" t="str">
            <v>Memphis, TN-MS-AR Metro Area</v>
          </cell>
          <cell r="B224">
            <v>12528</v>
          </cell>
          <cell r="C224">
            <v>20170</v>
          </cell>
          <cell r="D224">
            <v>31132</v>
          </cell>
          <cell r="E224">
            <v>36970</v>
          </cell>
          <cell r="F224">
            <v>30978</v>
          </cell>
          <cell r="G224">
            <v>56987</v>
          </cell>
          <cell r="H224">
            <v>68082</v>
          </cell>
          <cell r="I224">
            <v>62553</v>
          </cell>
          <cell r="J224">
            <v>77922</v>
          </cell>
          <cell r="K224">
            <v>81057</v>
          </cell>
          <cell r="L224">
            <v>61583</v>
          </cell>
          <cell r="M224">
            <v>51118</v>
          </cell>
          <cell r="N224">
            <v>83563</v>
          </cell>
          <cell r="O224">
            <v>83145</v>
          </cell>
          <cell r="P224">
            <v>37257</v>
          </cell>
          <cell r="Q224">
            <v>88401</v>
          </cell>
          <cell r="R224">
            <v>62747</v>
          </cell>
          <cell r="S224">
            <v>41054</v>
          </cell>
          <cell r="T224">
            <v>20021</v>
          </cell>
          <cell r="U224">
            <v>19928</v>
          </cell>
          <cell r="V224">
            <v>37835</v>
          </cell>
          <cell r="W224">
            <v>22816</v>
          </cell>
          <cell r="X224">
            <v>32392</v>
          </cell>
          <cell r="Y224">
            <v>26655</v>
          </cell>
          <cell r="Z224">
            <v>8742</v>
          </cell>
          <cell r="AA224">
            <v>9539</v>
          </cell>
          <cell r="AB224">
            <v>4522</v>
          </cell>
          <cell r="AC224">
            <v>11003</v>
          </cell>
          <cell r="AD224">
            <v>12514</v>
          </cell>
          <cell r="AE224">
            <v>9736</v>
          </cell>
          <cell r="AG224">
            <v>12799</v>
          </cell>
          <cell r="AI224">
            <v>19135</v>
          </cell>
          <cell r="AJ224">
            <v>7138</v>
          </cell>
          <cell r="AK224">
            <v>9831</v>
          </cell>
          <cell r="AL224">
            <v>26347</v>
          </cell>
          <cell r="AM224">
            <v>12160</v>
          </cell>
          <cell r="AO224">
            <v>4072</v>
          </cell>
          <cell r="AQ224">
            <v>4044</v>
          </cell>
          <cell r="AR224">
            <v>2901</v>
          </cell>
          <cell r="AS224">
            <v>7719</v>
          </cell>
          <cell r="AX224">
            <v>7004</v>
          </cell>
          <cell r="DN224">
            <v>1316100</v>
          </cell>
          <cell r="DO224">
            <v>224</v>
          </cell>
        </row>
        <row r="225">
          <cell r="A225" t="str">
            <v>Merced, CA Metro Area</v>
          </cell>
          <cell r="B225">
            <v>13797</v>
          </cell>
          <cell r="C225">
            <v>43942</v>
          </cell>
          <cell r="D225">
            <v>25121</v>
          </cell>
          <cell r="E225">
            <v>12707</v>
          </cell>
          <cell r="H225">
            <v>17613</v>
          </cell>
          <cell r="I225">
            <v>12884</v>
          </cell>
          <cell r="J225">
            <v>11058</v>
          </cell>
          <cell r="K225">
            <v>18024</v>
          </cell>
          <cell r="O225">
            <v>9520</v>
          </cell>
          <cell r="P225">
            <v>9116</v>
          </cell>
          <cell r="S225">
            <v>5467</v>
          </cell>
          <cell r="T225">
            <v>9272</v>
          </cell>
          <cell r="V225">
            <v>1756</v>
          </cell>
          <cell r="W225">
            <v>9905</v>
          </cell>
          <cell r="Y225">
            <v>7505</v>
          </cell>
          <cell r="Z225">
            <v>13709</v>
          </cell>
          <cell r="AA225">
            <v>9923</v>
          </cell>
          <cell r="AB225">
            <v>6097</v>
          </cell>
          <cell r="AC225">
            <v>6680</v>
          </cell>
          <cell r="AD225">
            <v>7835</v>
          </cell>
          <cell r="AE225">
            <v>3862</v>
          </cell>
          <cell r="DN225">
            <v>255793</v>
          </cell>
          <cell r="DO225">
            <v>225</v>
          </cell>
        </row>
        <row r="226">
          <cell r="A226" t="str">
            <v>Miami-Fort Lauderdale-Pompano Beach, FL Metro Area</v>
          </cell>
          <cell r="B226">
            <v>9752</v>
          </cell>
          <cell r="C226">
            <v>49853</v>
          </cell>
          <cell r="D226">
            <v>83044</v>
          </cell>
          <cell r="E226">
            <v>119597</v>
          </cell>
          <cell r="F226">
            <v>114917</v>
          </cell>
          <cell r="G226">
            <v>102425</v>
          </cell>
          <cell r="H226">
            <v>143077</v>
          </cell>
          <cell r="I226">
            <v>149382</v>
          </cell>
          <cell r="J226">
            <v>157285</v>
          </cell>
          <cell r="K226">
            <v>159385</v>
          </cell>
          <cell r="L226">
            <v>179391</v>
          </cell>
          <cell r="M226">
            <v>243708</v>
          </cell>
          <cell r="N226">
            <v>204193</v>
          </cell>
          <cell r="O226">
            <v>206699</v>
          </cell>
          <cell r="P226">
            <v>138658</v>
          </cell>
          <cell r="Q226">
            <v>163928</v>
          </cell>
          <cell r="R226">
            <v>102242</v>
          </cell>
          <cell r="S226">
            <v>95725</v>
          </cell>
          <cell r="T226">
            <v>95935</v>
          </cell>
          <cell r="U226">
            <v>151362</v>
          </cell>
          <cell r="V226">
            <v>117109</v>
          </cell>
          <cell r="W226">
            <v>98255</v>
          </cell>
          <cell r="X226">
            <v>82211</v>
          </cell>
          <cell r="Y226">
            <v>67341</v>
          </cell>
          <cell r="Z226">
            <v>37723</v>
          </cell>
          <cell r="AA226">
            <v>78140</v>
          </cell>
          <cell r="AB226">
            <v>61940</v>
          </cell>
          <cell r="AC226">
            <v>96416</v>
          </cell>
          <cell r="AD226">
            <v>94797</v>
          </cell>
          <cell r="AE226">
            <v>120945</v>
          </cell>
          <cell r="AF226">
            <v>75533</v>
          </cell>
          <cell r="AG226">
            <v>63766</v>
          </cell>
          <cell r="AH226">
            <v>58806</v>
          </cell>
          <cell r="AI226">
            <v>71238</v>
          </cell>
          <cell r="AJ226">
            <v>59899</v>
          </cell>
          <cell r="AK226">
            <v>71160</v>
          </cell>
          <cell r="AL226">
            <v>48945</v>
          </cell>
          <cell r="AM226">
            <v>64832</v>
          </cell>
          <cell r="AN226">
            <v>46720</v>
          </cell>
          <cell r="AO226">
            <v>80355</v>
          </cell>
          <cell r="AP226">
            <v>53108</v>
          </cell>
          <cell r="AQ226">
            <v>37931</v>
          </cell>
          <cell r="AR226">
            <v>50578</v>
          </cell>
          <cell r="AS226">
            <v>37090</v>
          </cell>
          <cell r="AT226">
            <v>26541</v>
          </cell>
          <cell r="AU226">
            <v>25431</v>
          </cell>
          <cell r="AV226">
            <v>33572</v>
          </cell>
          <cell r="AW226">
            <v>13294</v>
          </cell>
          <cell r="AX226">
            <v>12484</v>
          </cell>
          <cell r="AY226">
            <v>31846</v>
          </cell>
          <cell r="AZ226">
            <v>23560</v>
          </cell>
          <cell r="BA226">
            <v>25201</v>
          </cell>
          <cell r="BB226">
            <v>31132</v>
          </cell>
          <cell r="BC226">
            <v>16993</v>
          </cell>
          <cell r="BD226">
            <v>20931</v>
          </cell>
          <cell r="BE226">
            <v>41357</v>
          </cell>
          <cell r="BF226">
            <v>28748</v>
          </cell>
          <cell r="BG226">
            <v>31728</v>
          </cell>
          <cell r="BH226">
            <v>34909</v>
          </cell>
          <cell r="BI226">
            <v>39676</v>
          </cell>
          <cell r="BJ226">
            <v>35159</v>
          </cell>
          <cell r="BK226">
            <v>50362</v>
          </cell>
          <cell r="BL226">
            <v>52760</v>
          </cell>
          <cell r="BM226">
            <v>58441</v>
          </cell>
          <cell r="BN226">
            <v>59079</v>
          </cell>
          <cell r="BO226">
            <v>44993</v>
          </cell>
          <cell r="BP226">
            <v>32373</v>
          </cell>
          <cell r="BQ226">
            <v>41161</v>
          </cell>
          <cell r="BR226">
            <v>50949</v>
          </cell>
          <cell r="BS226">
            <v>26991</v>
          </cell>
          <cell r="BT226">
            <v>34109</v>
          </cell>
          <cell r="BU226">
            <v>31373</v>
          </cell>
          <cell r="BV226">
            <v>22523</v>
          </cell>
          <cell r="BW226">
            <v>37481</v>
          </cell>
          <cell r="BX226">
            <v>31612</v>
          </cell>
          <cell r="BY226">
            <v>18161</v>
          </cell>
          <cell r="BZ226">
            <v>19160</v>
          </cell>
          <cell r="CA226">
            <v>5623</v>
          </cell>
          <cell r="CB226">
            <v>23262</v>
          </cell>
          <cell r="CC226">
            <v>13976</v>
          </cell>
          <cell r="CD226">
            <v>3413</v>
          </cell>
          <cell r="CE226">
            <v>24994</v>
          </cell>
          <cell r="CF226">
            <v>30003</v>
          </cell>
          <cell r="CG226">
            <v>7155</v>
          </cell>
          <cell r="CH226">
            <v>12943</v>
          </cell>
          <cell r="CI226">
            <v>13780</v>
          </cell>
          <cell r="DN226">
            <v>5564635</v>
          </cell>
          <cell r="DO226">
            <v>226</v>
          </cell>
        </row>
        <row r="227">
          <cell r="A227" t="str">
            <v>Michigan City-La Porte, IN Metro Area</v>
          </cell>
          <cell r="B227">
            <v>5083</v>
          </cell>
          <cell r="C227">
            <v>14343</v>
          </cell>
          <cell r="D227">
            <v>10464</v>
          </cell>
          <cell r="E227">
            <v>6514</v>
          </cell>
          <cell r="F227">
            <v>1059</v>
          </cell>
          <cell r="H227">
            <v>11339</v>
          </cell>
          <cell r="L227">
            <v>5060</v>
          </cell>
          <cell r="M227">
            <v>5912</v>
          </cell>
          <cell r="N227">
            <v>28121</v>
          </cell>
          <cell r="Q227">
            <v>6054</v>
          </cell>
          <cell r="S227">
            <v>8368</v>
          </cell>
          <cell r="T227">
            <v>5390</v>
          </cell>
          <cell r="Y227">
            <v>3760</v>
          </cell>
          <cell r="DN227">
            <v>111467</v>
          </cell>
          <cell r="DO227">
            <v>227</v>
          </cell>
        </row>
        <row r="228">
          <cell r="A228" t="str">
            <v>Midland, TX Metro Area</v>
          </cell>
          <cell r="B228">
            <v>3429</v>
          </cell>
          <cell r="C228">
            <v>32062</v>
          </cell>
          <cell r="D228">
            <v>9646</v>
          </cell>
          <cell r="E228">
            <v>46149</v>
          </cell>
          <cell r="F228">
            <v>15905</v>
          </cell>
          <cell r="G228">
            <v>14836</v>
          </cell>
          <cell r="H228">
            <v>9514</v>
          </cell>
          <cell r="J228">
            <v>0</v>
          </cell>
          <cell r="L228">
            <v>5331</v>
          </cell>
          <cell r="DN228">
            <v>136872</v>
          </cell>
          <cell r="DO228">
            <v>228</v>
          </cell>
        </row>
        <row r="229">
          <cell r="A229" t="str">
            <v>Milwaukee-Waukesha-West Allis, WI Metro Area</v>
          </cell>
          <cell r="B229">
            <v>21587</v>
          </cell>
          <cell r="C229">
            <v>64674</v>
          </cell>
          <cell r="D229">
            <v>122515</v>
          </cell>
          <cell r="E229">
            <v>110335</v>
          </cell>
          <cell r="F229">
            <v>119518</v>
          </cell>
          <cell r="G229">
            <v>113435</v>
          </cell>
          <cell r="H229">
            <v>106072</v>
          </cell>
          <cell r="I229">
            <v>88629</v>
          </cell>
          <cell r="J229">
            <v>72705</v>
          </cell>
          <cell r="K229">
            <v>68814</v>
          </cell>
          <cell r="L229">
            <v>56131</v>
          </cell>
          <cell r="M229">
            <v>81218</v>
          </cell>
          <cell r="N229">
            <v>28938</v>
          </cell>
          <cell r="O229">
            <v>28130</v>
          </cell>
          <cell r="P229">
            <v>52897</v>
          </cell>
          <cell r="Q229">
            <v>19498</v>
          </cell>
          <cell r="R229">
            <v>42810</v>
          </cell>
          <cell r="S229">
            <v>32037</v>
          </cell>
          <cell r="T229">
            <v>39851</v>
          </cell>
          <cell r="U229">
            <v>32796</v>
          </cell>
          <cell r="V229">
            <v>14472</v>
          </cell>
          <cell r="W229">
            <v>10036</v>
          </cell>
          <cell r="X229">
            <v>23838</v>
          </cell>
          <cell r="Y229">
            <v>30697</v>
          </cell>
          <cell r="Z229">
            <v>8734</v>
          </cell>
          <cell r="AA229">
            <v>23184</v>
          </cell>
          <cell r="AB229">
            <v>16658</v>
          </cell>
          <cell r="AC229">
            <v>11776</v>
          </cell>
          <cell r="AD229">
            <v>16738</v>
          </cell>
          <cell r="AE229">
            <v>35358</v>
          </cell>
          <cell r="AF229">
            <v>32638</v>
          </cell>
          <cell r="AG229">
            <v>14454</v>
          </cell>
          <cell r="AH229">
            <v>4014</v>
          </cell>
          <cell r="AK229">
            <v>5664</v>
          </cell>
          <cell r="AL229">
            <v>5057</v>
          </cell>
          <cell r="DN229">
            <v>1555908</v>
          </cell>
          <cell r="DO229">
            <v>229</v>
          </cell>
        </row>
        <row r="230">
          <cell r="A230" t="str">
            <v>Minneapolis-St. Paul-Bloomington, MN-WI Metro Area</v>
          </cell>
          <cell r="B230">
            <v>31036</v>
          </cell>
          <cell r="C230">
            <v>92490</v>
          </cell>
          <cell r="D230">
            <v>105401</v>
          </cell>
          <cell r="E230">
            <v>96271</v>
          </cell>
          <cell r="F230">
            <v>123301</v>
          </cell>
          <cell r="G230">
            <v>137089</v>
          </cell>
          <cell r="H230">
            <v>142495</v>
          </cell>
          <cell r="I230">
            <v>170593</v>
          </cell>
          <cell r="J230">
            <v>146668</v>
          </cell>
          <cell r="K230">
            <v>132382</v>
          </cell>
          <cell r="L230">
            <v>134914</v>
          </cell>
          <cell r="M230">
            <v>151037</v>
          </cell>
          <cell r="N230">
            <v>154865</v>
          </cell>
          <cell r="O230">
            <v>171607</v>
          </cell>
          <cell r="P230">
            <v>149104</v>
          </cell>
          <cell r="Q230">
            <v>129829</v>
          </cell>
          <cell r="R230">
            <v>107764</v>
          </cell>
          <cell r="S230">
            <v>135836</v>
          </cell>
          <cell r="T230">
            <v>102145</v>
          </cell>
          <cell r="U230">
            <v>70888</v>
          </cell>
          <cell r="V230">
            <v>56850</v>
          </cell>
          <cell r="W230">
            <v>53355</v>
          </cell>
          <cell r="X230">
            <v>65672</v>
          </cell>
          <cell r="Y230">
            <v>25565</v>
          </cell>
          <cell r="Z230">
            <v>38292</v>
          </cell>
          <cell r="AA230">
            <v>43021</v>
          </cell>
          <cell r="AB230">
            <v>68282</v>
          </cell>
          <cell r="AC230">
            <v>38420</v>
          </cell>
          <cell r="AD230">
            <v>42184</v>
          </cell>
          <cell r="AE230">
            <v>28722</v>
          </cell>
          <cell r="AF230">
            <v>2650</v>
          </cell>
          <cell r="AG230">
            <v>6694</v>
          </cell>
          <cell r="AH230">
            <v>43796</v>
          </cell>
          <cell r="AI230">
            <v>34935</v>
          </cell>
          <cell r="AJ230">
            <v>24007</v>
          </cell>
          <cell r="AK230">
            <v>50339</v>
          </cell>
          <cell r="AL230">
            <v>8470</v>
          </cell>
          <cell r="AM230">
            <v>23759</v>
          </cell>
          <cell r="AN230">
            <v>6271</v>
          </cell>
          <cell r="AO230">
            <v>17301</v>
          </cell>
          <cell r="AP230">
            <v>19520</v>
          </cell>
          <cell r="AQ230">
            <v>20623</v>
          </cell>
          <cell r="AR230">
            <v>4874</v>
          </cell>
          <cell r="AT230">
            <v>5376</v>
          </cell>
          <cell r="AU230">
            <v>18329</v>
          </cell>
          <cell r="AV230">
            <v>7518</v>
          </cell>
          <cell r="AW230">
            <v>4675</v>
          </cell>
          <cell r="AX230">
            <v>6967</v>
          </cell>
          <cell r="AY230">
            <v>3464</v>
          </cell>
          <cell r="AZ230">
            <v>5929</v>
          </cell>
          <cell r="BB230">
            <v>4569</v>
          </cell>
          <cell r="BC230">
            <v>6541</v>
          </cell>
          <cell r="BG230">
            <v>7148</v>
          </cell>
          <cell r="DN230">
            <v>3279833</v>
          </cell>
          <cell r="DO230">
            <v>230</v>
          </cell>
        </row>
        <row r="231">
          <cell r="A231" t="str">
            <v>Missoula, MT Metro Area</v>
          </cell>
          <cell r="B231">
            <v>4636</v>
          </cell>
          <cell r="C231">
            <v>34892</v>
          </cell>
          <cell r="D231">
            <v>7754</v>
          </cell>
          <cell r="E231">
            <v>16826</v>
          </cell>
          <cell r="F231">
            <v>17477</v>
          </cell>
          <cell r="H231">
            <v>6750</v>
          </cell>
          <cell r="K231">
            <v>6539</v>
          </cell>
          <cell r="M231">
            <v>2337</v>
          </cell>
          <cell r="P231">
            <v>7448</v>
          </cell>
          <cell r="Z231">
            <v>4640</v>
          </cell>
          <cell r="DN231">
            <v>109299</v>
          </cell>
          <cell r="DO231">
            <v>231</v>
          </cell>
        </row>
        <row r="232">
          <cell r="A232" t="str">
            <v>Mobile, AL Metro Area</v>
          </cell>
          <cell r="B232">
            <v>7247</v>
          </cell>
          <cell r="C232">
            <v>11035</v>
          </cell>
          <cell r="D232">
            <v>17127</v>
          </cell>
          <cell r="E232">
            <v>23190</v>
          </cell>
          <cell r="F232">
            <v>24036</v>
          </cell>
          <cell r="G232">
            <v>19304</v>
          </cell>
          <cell r="H232">
            <v>36763</v>
          </cell>
          <cell r="I232">
            <v>16926</v>
          </cell>
          <cell r="J232">
            <v>36558</v>
          </cell>
          <cell r="K232">
            <v>28975</v>
          </cell>
          <cell r="L232">
            <v>21149</v>
          </cell>
          <cell r="M232">
            <v>17712</v>
          </cell>
          <cell r="N232">
            <v>30578</v>
          </cell>
          <cell r="O232">
            <v>25816</v>
          </cell>
          <cell r="P232">
            <v>7548</v>
          </cell>
          <cell r="Q232">
            <v>8268</v>
          </cell>
          <cell r="R232">
            <v>14584</v>
          </cell>
          <cell r="S232">
            <v>10608</v>
          </cell>
          <cell r="T232">
            <v>2999</v>
          </cell>
          <cell r="U232">
            <v>19299</v>
          </cell>
          <cell r="V232">
            <v>6036</v>
          </cell>
          <cell r="X232">
            <v>4439</v>
          </cell>
          <cell r="Y232">
            <v>10086</v>
          </cell>
          <cell r="AA232">
            <v>2771</v>
          </cell>
          <cell r="AC232">
            <v>4942</v>
          </cell>
          <cell r="AF232">
            <v>4996</v>
          </cell>
          <cell r="DN232">
            <v>412992</v>
          </cell>
          <cell r="DO232">
            <v>232</v>
          </cell>
        </row>
        <row r="233">
          <cell r="A233" t="str">
            <v>Modesto, CA Metro Area</v>
          </cell>
          <cell r="B233">
            <v>8408</v>
          </cell>
          <cell r="C233">
            <v>54130</v>
          </cell>
          <cell r="D233">
            <v>69101</v>
          </cell>
          <cell r="E233">
            <v>72310</v>
          </cell>
          <cell r="F233">
            <v>74805</v>
          </cell>
          <cell r="G233">
            <v>12349</v>
          </cell>
          <cell r="H233">
            <v>38441</v>
          </cell>
          <cell r="I233">
            <v>17240</v>
          </cell>
          <cell r="L233">
            <v>14790</v>
          </cell>
          <cell r="M233">
            <v>35465</v>
          </cell>
          <cell r="N233">
            <v>34536</v>
          </cell>
          <cell r="O233">
            <v>41822</v>
          </cell>
          <cell r="P233">
            <v>28735</v>
          </cell>
          <cell r="T233">
            <v>1601</v>
          </cell>
          <cell r="X233">
            <v>10720</v>
          </cell>
          <cell r="DN233">
            <v>514453</v>
          </cell>
          <cell r="DO233">
            <v>233</v>
          </cell>
        </row>
        <row r="234">
          <cell r="A234" t="str">
            <v>Monroe, LA Metro Area</v>
          </cell>
          <cell r="B234">
            <v>3361</v>
          </cell>
          <cell r="C234">
            <v>23436</v>
          </cell>
          <cell r="D234">
            <v>22407</v>
          </cell>
          <cell r="E234">
            <v>30276</v>
          </cell>
          <cell r="F234">
            <v>6286</v>
          </cell>
          <cell r="G234">
            <v>11544</v>
          </cell>
          <cell r="H234">
            <v>6392</v>
          </cell>
          <cell r="I234">
            <v>14826</v>
          </cell>
          <cell r="J234">
            <v>11491</v>
          </cell>
          <cell r="K234">
            <v>4678</v>
          </cell>
          <cell r="L234">
            <v>8088</v>
          </cell>
          <cell r="O234">
            <v>9121</v>
          </cell>
          <cell r="Q234">
            <v>1814</v>
          </cell>
          <cell r="T234">
            <v>8100</v>
          </cell>
          <cell r="AA234">
            <v>3717</v>
          </cell>
          <cell r="AD234">
            <v>4240</v>
          </cell>
          <cell r="AI234">
            <v>2952</v>
          </cell>
          <cell r="AQ234">
            <v>3712</v>
          </cell>
          <cell r="DN234">
            <v>176441</v>
          </cell>
          <cell r="DO234">
            <v>234</v>
          </cell>
        </row>
        <row r="235">
          <cell r="A235" t="str">
            <v>Monroe, MI Metro Area</v>
          </cell>
          <cell r="B235">
            <v>9615</v>
          </cell>
          <cell r="C235">
            <v>22790</v>
          </cell>
          <cell r="D235">
            <v>8872</v>
          </cell>
          <cell r="E235">
            <v>7841</v>
          </cell>
          <cell r="G235">
            <v>11505</v>
          </cell>
          <cell r="H235">
            <v>5816</v>
          </cell>
          <cell r="J235">
            <v>8456</v>
          </cell>
          <cell r="K235">
            <v>8000</v>
          </cell>
          <cell r="L235">
            <v>3751</v>
          </cell>
          <cell r="M235">
            <v>8220</v>
          </cell>
          <cell r="N235">
            <v>7609</v>
          </cell>
          <cell r="O235">
            <v>9809</v>
          </cell>
          <cell r="P235">
            <v>10132</v>
          </cell>
          <cell r="Q235">
            <v>14620</v>
          </cell>
          <cell r="R235">
            <v>6718</v>
          </cell>
          <cell r="T235">
            <v>8267</v>
          </cell>
          <cell r="DN235">
            <v>152021</v>
          </cell>
          <cell r="DO235">
            <v>235</v>
          </cell>
        </row>
        <row r="236">
          <cell r="A236" t="str">
            <v>Montgomery, AL Metro Area</v>
          </cell>
          <cell r="B236">
            <v>2779</v>
          </cell>
          <cell r="C236">
            <v>21558</v>
          </cell>
          <cell r="D236">
            <v>27134</v>
          </cell>
          <cell r="E236">
            <v>32613</v>
          </cell>
          <cell r="F236">
            <v>25416</v>
          </cell>
          <cell r="G236">
            <v>24771</v>
          </cell>
          <cell r="H236">
            <v>37542</v>
          </cell>
          <cell r="I236">
            <v>8590</v>
          </cell>
          <cell r="J236">
            <v>27365</v>
          </cell>
          <cell r="K236">
            <v>24394</v>
          </cell>
          <cell r="L236">
            <v>13692</v>
          </cell>
          <cell r="M236">
            <v>15054</v>
          </cell>
          <cell r="N236">
            <v>27155</v>
          </cell>
          <cell r="O236">
            <v>6759</v>
          </cell>
          <cell r="P236">
            <v>13968</v>
          </cell>
          <cell r="Q236">
            <v>839</v>
          </cell>
          <cell r="R236">
            <v>18379</v>
          </cell>
          <cell r="S236">
            <v>3620</v>
          </cell>
          <cell r="W236">
            <v>5675</v>
          </cell>
          <cell r="X236">
            <v>4757</v>
          </cell>
          <cell r="Y236">
            <v>17913</v>
          </cell>
          <cell r="AA236">
            <v>4458</v>
          </cell>
          <cell r="AE236">
            <v>10105</v>
          </cell>
          <cell r="DN236">
            <v>374536</v>
          </cell>
          <cell r="DO236">
            <v>236</v>
          </cell>
        </row>
        <row r="237">
          <cell r="A237" t="str">
            <v>Morgantown, WV Metro Area</v>
          </cell>
          <cell r="B237">
            <v>20417</v>
          </cell>
          <cell r="C237">
            <v>20702</v>
          </cell>
          <cell r="D237">
            <v>10070</v>
          </cell>
          <cell r="E237">
            <v>13667</v>
          </cell>
          <cell r="F237">
            <v>7994</v>
          </cell>
          <cell r="G237">
            <v>3989</v>
          </cell>
          <cell r="H237">
            <v>11504</v>
          </cell>
          <cell r="I237">
            <v>4017</v>
          </cell>
          <cell r="M237">
            <v>3811</v>
          </cell>
          <cell r="P237">
            <v>4349</v>
          </cell>
          <cell r="Q237">
            <v>3829</v>
          </cell>
          <cell r="R237">
            <v>3224</v>
          </cell>
          <cell r="S237">
            <v>4174</v>
          </cell>
          <cell r="U237">
            <v>6763</v>
          </cell>
          <cell r="X237">
            <v>7321</v>
          </cell>
          <cell r="AD237">
            <v>3878</v>
          </cell>
          <cell r="DN237">
            <v>129709</v>
          </cell>
          <cell r="DO237">
            <v>237</v>
          </cell>
        </row>
        <row r="238">
          <cell r="A238" t="str">
            <v>Morristown, TN Metro Area</v>
          </cell>
          <cell r="B238">
            <v>14741</v>
          </cell>
          <cell r="C238">
            <v>6546</v>
          </cell>
          <cell r="D238">
            <v>6199</v>
          </cell>
          <cell r="E238">
            <v>10884</v>
          </cell>
          <cell r="F238">
            <v>7328</v>
          </cell>
          <cell r="G238">
            <v>6354</v>
          </cell>
          <cell r="H238">
            <v>5016</v>
          </cell>
          <cell r="I238">
            <v>10492</v>
          </cell>
          <cell r="J238">
            <v>11742</v>
          </cell>
          <cell r="K238">
            <v>2657</v>
          </cell>
          <cell r="M238">
            <v>6337</v>
          </cell>
          <cell r="N238">
            <v>7239</v>
          </cell>
          <cell r="O238">
            <v>4696</v>
          </cell>
          <cell r="P238">
            <v>7196</v>
          </cell>
          <cell r="R238">
            <v>7678</v>
          </cell>
          <cell r="S238">
            <v>4352</v>
          </cell>
          <cell r="T238">
            <v>7086</v>
          </cell>
          <cell r="V238">
            <v>4692</v>
          </cell>
          <cell r="X238">
            <v>5373</v>
          </cell>
          <cell r="DN238">
            <v>136608</v>
          </cell>
          <cell r="DO238">
            <v>238</v>
          </cell>
        </row>
        <row r="239">
          <cell r="A239" t="str">
            <v>Mount Vernon-Anacortes, WA Metro Area</v>
          </cell>
          <cell r="B239">
            <v>9942</v>
          </cell>
          <cell r="C239">
            <v>20274</v>
          </cell>
          <cell r="D239">
            <v>4562</v>
          </cell>
          <cell r="E239">
            <v>8107</v>
          </cell>
          <cell r="F239">
            <v>3310</v>
          </cell>
          <cell r="G239">
            <v>11545</v>
          </cell>
          <cell r="H239">
            <v>4842</v>
          </cell>
          <cell r="I239">
            <v>4029</v>
          </cell>
          <cell r="J239">
            <v>12336</v>
          </cell>
          <cell r="M239">
            <v>10086</v>
          </cell>
          <cell r="N239">
            <v>4880</v>
          </cell>
          <cell r="O239">
            <v>2467</v>
          </cell>
          <cell r="P239">
            <v>3965</v>
          </cell>
          <cell r="Q239">
            <v>6839</v>
          </cell>
          <cell r="R239">
            <v>5002</v>
          </cell>
          <cell r="AF239">
            <v>4715</v>
          </cell>
          <cell r="DN239">
            <v>116901</v>
          </cell>
          <cell r="DO239">
            <v>239</v>
          </cell>
        </row>
        <row r="240">
          <cell r="A240" t="str">
            <v>Muncie, IN Metro Area</v>
          </cell>
          <cell r="B240">
            <v>10599</v>
          </cell>
          <cell r="C240">
            <v>39246</v>
          </cell>
          <cell r="D240">
            <v>16568</v>
          </cell>
          <cell r="E240">
            <v>2786</v>
          </cell>
          <cell r="F240">
            <v>15868</v>
          </cell>
          <cell r="G240">
            <v>15365</v>
          </cell>
          <cell r="I240">
            <v>5404</v>
          </cell>
          <cell r="J240">
            <v>4034</v>
          </cell>
          <cell r="K240">
            <v>4963</v>
          </cell>
          <cell r="L240">
            <v>2838</v>
          </cell>
          <cell r="DN240">
            <v>117671</v>
          </cell>
          <cell r="DO240">
            <v>240</v>
          </cell>
        </row>
        <row r="241">
          <cell r="A241" t="str">
            <v>Muskegon-Norton Shores, MI Metro Area</v>
          </cell>
          <cell r="B241">
            <v>13629</v>
          </cell>
          <cell r="C241">
            <v>21357</v>
          </cell>
          <cell r="D241">
            <v>13931</v>
          </cell>
          <cell r="E241">
            <v>37879</v>
          </cell>
          <cell r="F241">
            <v>15477</v>
          </cell>
          <cell r="G241">
            <v>11758</v>
          </cell>
          <cell r="H241">
            <v>9242</v>
          </cell>
          <cell r="I241">
            <v>4747</v>
          </cell>
          <cell r="J241">
            <v>9923</v>
          </cell>
          <cell r="K241">
            <v>6578</v>
          </cell>
          <cell r="M241">
            <v>10582</v>
          </cell>
          <cell r="N241">
            <v>5346</v>
          </cell>
          <cell r="O241">
            <v>5444</v>
          </cell>
          <cell r="R241">
            <v>1915</v>
          </cell>
          <cell r="T241">
            <v>4380</v>
          </cell>
          <cell r="DN241">
            <v>172188</v>
          </cell>
          <cell r="DO241">
            <v>241</v>
          </cell>
        </row>
        <row r="242">
          <cell r="A242" t="str">
            <v>Myrtle Beach-North Myrtle Beach-Conway, SC Metro Area</v>
          </cell>
          <cell r="B242">
            <v>6377</v>
          </cell>
          <cell r="C242">
            <v>6446</v>
          </cell>
          <cell r="D242">
            <v>10428</v>
          </cell>
          <cell r="E242">
            <v>3686</v>
          </cell>
          <cell r="F242">
            <v>28071</v>
          </cell>
          <cell r="G242">
            <v>11839</v>
          </cell>
          <cell r="H242">
            <v>17626</v>
          </cell>
          <cell r="I242">
            <v>5999</v>
          </cell>
          <cell r="J242">
            <v>28885</v>
          </cell>
          <cell r="K242">
            <v>6893</v>
          </cell>
          <cell r="L242">
            <v>23267</v>
          </cell>
          <cell r="M242">
            <v>6755</v>
          </cell>
          <cell r="N242">
            <v>11393</v>
          </cell>
          <cell r="O242">
            <v>6584</v>
          </cell>
          <cell r="P242">
            <v>9193</v>
          </cell>
          <cell r="Q242">
            <v>8119</v>
          </cell>
          <cell r="R242">
            <v>11842</v>
          </cell>
          <cell r="S242">
            <v>12238</v>
          </cell>
          <cell r="T242">
            <v>13112</v>
          </cell>
          <cell r="U242">
            <v>8172</v>
          </cell>
          <cell r="V242">
            <v>2395</v>
          </cell>
          <cell r="W242">
            <v>740</v>
          </cell>
          <cell r="X242">
            <v>7105</v>
          </cell>
          <cell r="Z242">
            <v>9968</v>
          </cell>
          <cell r="AB242">
            <v>3461</v>
          </cell>
          <cell r="AC242">
            <v>2472</v>
          </cell>
          <cell r="AE242">
            <v>2924</v>
          </cell>
          <cell r="AJ242">
            <v>3301</v>
          </cell>
          <cell r="DN242">
            <v>269291</v>
          </cell>
          <cell r="DO242">
            <v>242</v>
          </cell>
        </row>
        <row r="243">
          <cell r="A243" t="str">
            <v>Napa, CA Metro Area</v>
          </cell>
          <cell r="B243">
            <v>16154</v>
          </cell>
          <cell r="C243">
            <v>39122</v>
          </cell>
          <cell r="D243">
            <v>17848</v>
          </cell>
          <cell r="E243">
            <v>10205</v>
          </cell>
          <cell r="F243">
            <v>4739</v>
          </cell>
          <cell r="G243">
            <v>3114</v>
          </cell>
          <cell r="J243">
            <v>13023</v>
          </cell>
          <cell r="K243">
            <v>10970</v>
          </cell>
          <cell r="Q243">
            <v>1868</v>
          </cell>
          <cell r="R243">
            <v>2287</v>
          </cell>
          <cell r="S243">
            <v>3527</v>
          </cell>
          <cell r="T243">
            <v>1806</v>
          </cell>
          <cell r="V243">
            <v>5373</v>
          </cell>
          <cell r="AA243">
            <v>5155</v>
          </cell>
          <cell r="AB243">
            <v>1293</v>
          </cell>
          <cell r="DN243">
            <v>136484</v>
          </cell>
          <cell r="DO243">
            <v>243</v>
          </cell>
        </row>
        <row r="244">
          <cell r="A244" t="str">
            <v>Naples-Marco Island, FL Metro Area</v>
          </cell>
          <cell r="B244">
            <v>5524</v>
          </cell>
          <cell r="C244">
            <v>8392</v>
          </cell>
          <cell r="D244">
            <v>21461</v>
          </cell>
          <cell r="E244">
            <v>23299</v>
          </cell>
          <cell r="F244">
            <v>16009</v>
          </cell>
          <cell r="G244">
            <v>19534</v>
          </cell>
          <cell r="H244">
            <v>43051</v>
          </cell>
          <cell r="I244">
            <v>31968</v>
          </cell>
          <cell r="J244">
            <v>12591</v>
          </cell>
          <cell r="K244">
            <v>23296</v>
          </cell>
          <cell r="L244">
            <v>14744</v>
          </cell>
          <cell r="M244">
            <v>14597</v>
          </cell>
          <cell r="N244">
            <v>16327</v>
          </cell>
          <cell r="O244">
            <v>6584</v>
          </cell>
          <cell r="P244">
            <v>12856</v>
          </cell>
          <cell r="Q244">
            <v>6535</v>
          </cell>
          <cell r="R244">
            <v>1530</v>
          </cell>
          <cell r="T244">
            <v>18805</v>
          </cell>
          <cell r="AE244">
            <v>17096</v>
          </cell>
          <cell r="AF244">
            <v>7321</v>
          </cell>
          <cell r="DN244">
            <v>321520</v>
          </cell>
          <cell r="DO244">
            <v>244</v>
          </cell>
        </row>
        <row r="245">
          <cell r="A245" t="str">
            <v>Nashville-Davidson--Murfreesboro--Franklin, TN Metro Area</v>
          </cell>
          <cell r="B245">
            <v>10805</v>
          </cell>
          <cell r="C245">
            <v>37957</v>
          </cell>
          <cell r="D245">
            <v>49003</v>
          </cell>
          <cell r="E245">
            <v>55587</v>
          </cell>
          <cell r="F245">
            <v>49176</v>
          </cell>
          <cell r="G245">
            <v>52096</v>
          </cell>
          <cell r="H245">
            <v>45466</v>
          </cell>
          <cell r="I245">
            <v>39117</v>
          </cell>
          <cell r="J245">
            <v>68181</v>
          </cell>
          <cell r="K245">
            <v>78387</v>
          </cell>
          <cell r="L245">
            <v>67644</v>
          </cell>
          <cell r="M245">
            <v>61850</v>
          </cell>
          <cell r="N245">
            <v>42815</v>
          </cell>
          <cell r="O245">
            <v>61768</v>
          </cell>
          <cell r="P245">
            <v>48062</v>
          </cell>
          <cell r="Q245">
            <v>56994</v>
          </cell>
          <cell r="R245">
            <v>29324</v>
          </cell>
          <cell r="S245">
            <v>51240</v>
          </cell>
          <cell r="T245">
            <v>48586</v>
          </cell>
          <cell r="U245">
            <v>25587</v>
          </cell>
          <cell r="V245">
            <v>38415</v>
          </cell>
          <cell r="W245">
            <v>24631</v>
          </cell>
          <cell r="X245">
            <v>36156</v>
          </cell>
          <cell r="Y245">
            <v>44020</v>
          </cell>
          <cell r="Z245">
            <v>36088</v>
          </cell>
          <cell r="AA245">
            <v>7742</v>
          </cell>
          <cell r="AB245">
            <v>36701</v>
          </cell>
          <cell r="AC245">
            <v>17236</v>
          </cell>
          <cell r="AD245">
            <v>59167</v>
          </cell>
          <cell r="AE245">
            <v>36396</v>
          </cell>
          <cell r="AF245">
            <v>27232</v>
          </cell>
          <cell r="AG245">
            <v>37008</v>
          </cell>
          <cell r="AH245">
            <v>35171</v>
          </cell>
          <cell r="AI245">
            <v>18116</v>
          </cell>
          <cell r="AJ245">
            <v>23335</v>
          </cell>
          <cell r="AK245">
            <v>25698</v>
          </cell>
          <cell r="AL245">
            <v>9872</v>
          </cell>
          <cell r="AM245">
            <v>8712</v>
          </cell>
          <cell r="AN245">
            <v>11838</v>
          </cell>
          <cell r="AP245">
            <v>9347</v>
          </cell>
          <cell r="AR245">
            <v>5634</v>
          </cell>
          <cell r="AS245">
            <v>4179</v>
          </cell>
          <cell r="AT245">
            <v>4742</v>
          </cell>
          <cell r="AU245">
            <v>11292</v>
          </cell>
          <cell r="AV245">
            <v>2941</v>
          </cell>
          <cell r="AW245">
            <v>6602</v>
          </cell>
          <cell r="AX245">
            <v>11445</v>
          </cell>
          <cell r="AY245">
            <v>5707</v>
          </cell>
          <cell r="AZ245">
            <v>2403</v>
          </cell>
          <cell r="BA245">
            <v>2132</v>
          </cell>
          <cell r="BB245">
            <v>3340</v>
          </cell>
          <cell r="BE245">
            <v>2078</v>
          </cell>
          <cell r="BF245">
            <v>4913</v>
          </cell>
          <cell r="DN245">
            <v>1589934</v>
          </cell>
          <cell r="DO245">
            <v>245</v>
          </cell>
        </row>
        <row r="246">
          <cell r="A246" t="str">
            <v>New Haven-Milford, CT Metro Area</v>
          </cell>
          <cell r="B246">
            <v>35595</v>
          </cell>
          <cell r="C246">
            <v>53044</v>
          </cell>
          <cell r="D246">
            <v>70227</v>
          </cell>
          <cell r="E246">
            <v>59361</v>
          </cell>
          <cell r="F246">
            <v>36710</v>
          </cell>
          <cell r="G246">
            <v>36832</v>
          </cell>
          <cell r="H246">
            <v>36472</v>
          </cell>
          <cell r="I246">
            <v>57494</v>
          </cell>
          <cell r="J246">
            <v>30412</v>
          </cell>
          <cell r="K246">
            <v>28430</v>
          </cell>
          <cell r="L246">
            <v>24698</v>
          </cell>
          <cell r="M246">
            <v>42506</v>
          </cell>
          <cell r="N246">
            <v>48425</v>
          </cell>
          <cell r="O246">
            <v>23824</v>
          </cell>
          <cell r="P246">
            <v>33429</v>
          </cell>
          <cell r="Q246">
            <v>24974</v>
          </cell>
          <cell r="R246">
            <v>48658</v>
          </cell>
          <cell r="S246">
            <v>67305</v>
          </cell>
          <cell r="T246">
            <v>57578</v>
          </cell>
          <cell r="U246">
            <v>12915</v>
          </cell>
          <cell r="V246">
            <v>26033</v>
          </cell>
          <cell r="W246">
            <v>7555</v>
          </cell>
          <cell r="DN246">
            <v>862477</v>
          </cell>
          <cell r="DO246">
            <v>246</v>
          </cell>
        </row>
        <row r="247">
          <cell r="A247" t="str">
            <v>New Orleans-Metairie-Kenner, LA Metro Area</v>
          </cell>
          <cell r="B247">
            <v>14330</v>
          </cell>
          <cell r="C247">
            <v>66550</v>
          </cell>
          <cell r="D247">
            <v>89683</v>
          </cell>
          <cell r="E247">
            <v>79859</v>
          </cell>
          <cell r="F247">
            <v>83659</v>
          </cell>
          <cell r="G247">
            <v>97902</v>
          </cell>
          <cell r="H247">
            <v>106664</v>
          </cell>
          <cell r="I247">
            <v>68426</v>
          </cell>
          <cell r="J247">
            <v>60285</v>
          </cell>
          <cell r="K247">
            <v>62452</v>
          </cell>
          <cell r="L247">
            <v>26147</v>
          </cell>
          <cell r="M247">
            <v>33479</v>
          </cell>
          <cell r="N247">
            <v>28515</v>
          </cell>
          <cell r="O247">
            <v>5925</v>
          </cell>
          <cell r="P247">
            <v>2792</v>
          </cell>
          <cell r="Q247">
            <v>4300</v>
          </cell>
          <cell r="R247">
            <v>10020</v>
          </cell>
          <cell r="S247">
            <v>6368</v>
          </cell>
          <cell r="T247">
            <v>17663</v>
          </cell>
          <cell r="V247">
            <v>2988</v>
          </cell>
          <cell r="W247">
            <v>4754</v>
          </cell>
          <cell r="X247">
            <v>368</v>
          </cell>
          <cell r="Y247">
            <v>7769</v>
          </cell>
          <cell r="Z247">
            <v>2685</v>
          </cell>
          <cell r="AA247">
            <v>19464</v>
          </cell>
          <cell r="AB247">
            <v>16922</v>
          </cell>
          <cell r="AC247">
            <v>30437</v>
          </cell>
          <cell r="AD247">
            <v>27185</v>
          </cell>
          <cell r="AE247">
            <v>19400</v>
          </cell>
          <cell r="AF247">
            <v>43128</v>
          </cell>
          <cell r="AG247">
            <v>20922</v>
          </cell>
          <cell r="AH247">
            <v>6039</v>
          </cell>
          <cell r="AI247">
            <v>16967</v>
          </cell>
          <cell r="AJ247">
            <v>14429</v>
          </cell>
          <cell r="AK247">
            <v>22613</v>
          </cell>
          <cell r="AL247">
            <v>3334</v>
          </cell>
          <cell r="AM247">
            <v>12693</v>
          </cell>
          <cell r="AO247">
            <v>1426</v>
          </cell>
          <cell r="AR247">
            <v>6811</v>
          </cell>
          <cell r="AS247">
            <v>8377</v>
          </cell>
          <cell r="AT247">
            <v>6295</v>
          </cell>
          <cell r="AU247">
            <v>4453</v>
          </cell>
          <cell r="AV247">
            <v>993</v>
          </cell>
          <cell r="BC247">
            <v>1161</v>
          </cell>
          <cell r="BI247">
            <v>1132</v>
          </cell>
          <cell r="DN247">
            <v>1167764</v>
          </cell>
          <cell r="DO247">
            <v>247</v>
          </cell>
        </row>
        <row r="248">
          <cell r="A248" t="str">
            <v>New York-Northern New Jersey-Long Island, NY-NJ-PA Metro Area</v>
          </cell>
          <cell r="B248">
            <v>143234</v>
          </cell>
          <cell r="C248">
            <v>294543</v>
          </cell>
          <cell r="D248">
            <v>456212</v>
          </cell>
          <cell r="E248">
            <v>561031</v>
          </cell>
          <cell r="F248">
            <v>766793</v>
          </cell>
          <cell r="G248">
            <v>1000093</v>
          </cell>
          <cell r="H248">
            <v>908397</v>
          </cell>
          <cell r="I248">
            <v>991574</v>
          </cell>
          <cell r="J248">
            <v>737534</v>
          </cell>
          <cell r="K248">
            <v>901210</v>
          </cell>
          <cell r="L248">
            <v>887696</v>
          </cell>
          <cell r="M248">
            <v>808763</v>
          </cell>
          <cell r="N248">
            <v>783095</v>
          </cell>
          <cell r="O248">
            <v>540408</v>
          </cell>
          <cell r="P248">
            <v>524751</v>
          </cell>
          <cell r="Q248">
            <v>500660</v>
          </cell>
          <cell r="R248">
            <v>440803</v>
          </cell>
          <cell r="S248">
            <v>356329</v>
          </cell>
          <cell r="T248">
            <v>290317</v>
          </cell>
          <cell r="U248">
            <v>361297</v>
          </cell>
          <cell r="V248">
            <v>336105</v>
          </cell>
          <cell r="W248">
            <v>300100</v>
          </cell>
          <cell r="X248">
            <v>275238</v>
          </cell>
          <cell r="Y248">
            <v>301382</v>
          </cell>
          <cell r="Z248">
            <v>270899</v>
          </cell>
          <cell r="AA248">
            <v>279064</v>
          </cell>
          <cell r="AB248">
            <v>284614</v>
          </cell>
          <cell r="AC248">
            <v>309052</v>
          </cell>
          <cell r="AD248">
            <v>282255</v>
          </cell>
          <cell r="AE248">
            <v>183139</v>
          </cell>
          <cell r="AF248">
            <v>220986</v>
          </cell>
          <cell r="AG248">
            <v>167417</v>
          </cell>
          <cell r="AH248">
            <v>202957</v>
          </cell>
          <cell r="AI248">
            <v>171804</v>
          </cell>
          <cell r="AJ248">
            <v>176039</v>
          </cell>
          <cell r="AK248">
            <v>184864</v>
          </cell>
          <cell r="AL248">
            <v>160858</v>
          </cell>
          <cell r="AM248">
            <v>146475</v>
          </cell>
          <cell r="AN248">
            <v>89039</v>
          </cell>
          <cell r="AO248">
            <v>139531</v>
          </cell>
          <cell r="AP248">
            <v>173701</v>
          </cell>
          <cell r="AQ248">
            <v>132625</v>
          </cell>
          <cell r="AR248">
            <v>115220</v>
          </cell>
          <cell r="AS248">
            <v>166119</v>
          </cell>
          <cell r="AT248">
            <v>69987</v>
          </cell>
          <cell r="AU248">
            <v>87456</v>
          </cell>
          <cell r="AV248">
            <v>120400</v>
          </cell>
          <cell r="AW248">
            <v>116173</v>
          </cell>
          <cell r="AX248">
            <v>107993</v>
          </cell>
          <cell r="AY248">
            <v>74354</v>
          </cell>
          <cell r="AZ248">
            <v>85160</v>
          </cell>
          <cell r="BA248">
            <v>102800</v>
          </cell>
          <cell r="BB248">
            <v>72507</v>
          </cell>
          <cell r="BC248">
            <v>92194</v>
          </cell>
          <cell r="BD248">
            <v>87517</v>
          </cell>
          <cell r="BE248">
            <v>53051</v>
          </cell>
          <cell r="BF248">
            <v>30208</v>
          </cell>
          <cell r="BG248">
            <v>38454</v>
          </cell>
          <cell r="BH248">
            <v>13723</v>
          </cell>
          <cell r="BI248">
            <v>63834</v>
          </cell>
          <cell r="BJ248">
            <v>27566</v>
          </cell>
          <cell r="BK248">
            <v>37796</v>
          </cell>
          <cell r="BL248">
            <v>10254</v>
          </cell>
          <cell r="BM248">
            <v>21859</v>
          </cell>
          <cell r="BN248">
            <v>18456</v>
          </cell>
          <cell r="BO248">
            <v>7819</v>
          </cell>
          <cell r="BP248">
            <v>10550</v>
          </cell>
          <cell r="BQ248">
            <v>9660</v>
          </cell>
          <cell r="BR248">
            <v>27756</v>
          </cell>
          <cell r="BS248">
            <v>12129</v>
          </cell>
          <cell r="BT248">
            <v>5749</v>
          </cell>
          <cell r="BU248">
            <v>14136</v>
          </cell>
          <cell r="BV248">
            <v>14829</v>
          </cell>
          <cell r="BW248">
            <v>8344</v>
          </cell>
          <cell r="BX248">
            <v>5488</v>
          </cell>
          <cell r="BY248">
            <v>6041</v>
          </cell>
          <cell r="BZ248">
            <v>2861</v>
          </cell>
          <cell r="CA248">
            <v>11242</v>
          </cell>
          <cell r="CB248">
            <v>18737</v>
          </cell>
          <cell r="CC248">
            <v>5128</v>
          </cell>
          <cell r="CD248">
            <v>14783</v>
          </cell>
          <cell r="CE248">
            <v>4163</v>
          </cell>
          <cell r="CF248">
            <v>8172</v>
          </cell>
          <cell r="CG248">
            <v>1</v>
          </cell>
          <cell r="CH248">
            <v>4794</v>
          </cell>
          <cell r="CI248">
            <v>8857</v>
          </cell>
          <cell r="CL248">
            <v>4669</v>
          </cell>
          <cell r="CM248">
            <v>2197</v>
          </cell>
          <cell r="CN248">
            <v>5533</v>
          </cell>
          <cell r="CO248">
            <v>2020</v>
          </cell>
          <cell r="CP248">
            <v>4029</v>
          </cell>
          <cell r="CS248">
            <v>6410</v>
          </cell>
          <cell r="CT248">
            <v>1083</v>
          </cell>
          <cell r="CU248">
            <v>10638</v>
          </cell>
          <cell r="CW248">
            <v>3326</v>
          </cell>
          <cell r="DN248">
            <v>18897109</v>
          </cell>
          <cell r="DO248">
            <v>248</v>
          </cell>
        </row>
        <row r="249">
          <cell r="A249" t="str">
            <v>Niles-Benton Harbor, MI Metro Area</v>
          </cell>
          <cell r="B249">
            <v>13108</v>
          </cell>
          <cell r="C249">
            <v>5150</v>
          </cell>
          <cell r="D249">
            <v>3866</v>
          </cell>
          <cell r="E249">
            <v>2024</v>
          </cell>
          <cell r="F249">
            <v>1615</v>
          </cell>
          <cell r="G249">
            <v>7962</v>
          </cell>
          <cell r="I249">
            <v>2674</v>
          </cell>
          <cell r="J249">
            <v>5084</v>
          </cell>
          <cell r="L249">
            <v>9193</v>
          </cell>
          <cell r="O249">
            <v>3764</v>
          </cell>
          <cell r="P249">
            <v>4744</v>
          </cell>
          <cell r="R249">
            <v>6719</v>
          </cell>
          <cell r="S249">
            <v>9915</v>
          </cell>
          <cell r="T249">
            <v>4961</v>
          </cell>
          <cell r="U249">
            <v>17600</v>
          </cell>
          <cell r="V249">
            <v>13462</v>
          </cell>
          <cell r="W249">
            <v>11883</v>
          </cell>
          <cell r="X249">
            <v>11545</v>
          </cell>
          <cell r="Y249">
            <v>2264</v>
          </cell>
          <cell r="AA249">
            <v>15609</v>
          </cell>
          <cell r="AB249">
            <v>3671</v>
          </cell>
          <cell r="DN249">
            <v>156813</v>
          </cell>
          <cell r="DO249">
            <v>249</v>
          </cell>
        </row>
        <row r="250">
          <cell r="A250" t="str">
            <v>North Port-Bradenton-Sarasota, FL Metro Area</v>
          </cell>
          <cell r="C250">
            <v>9348</v>
          </cell>
          <cell r="D250">
            <v>41000</v>
          </cell>
          <cell r="E250">
            <v>9059</v>
          </cell>
          <cell r="F250">
            <v>2562</v>
          </cell>
          <cell r="K250">
            <v>9155</v>
          </cell>
          <cell r="L250">
            <v>8780</v>
          </cell>
          <cell r="M250">
            <v>11116</v>
          </cell>
          <cell r="N250">
            <v>29637</v>
          </cell>
          <cell r="O250">
            <v>9230</v>
          </cell>
          <cell r="P250">
            <v>9659</v>
          </cell>
          <cell r="Q250">
            <v>9083</v>
          </cell>
          <cell r="R250">
            <v>15079</v>
          </cell>
          <cell r="T250">
            <v>6291</v>
          </cell>
          <cell r="U250">
            <v>15180</v>
          </cell>
          <cell r="V250">
            <v>13015</v>
          </cell>
          <cell r="W250">
            <v>27627</v>
          </cell>
          <cell r="X250">
            <v>26422</v>
          </cell>
          <cell r="Y250">
            <v>18567</v>
          </cell>
          <cell r="Z250">
            <v>26005</v>
          </cell>
          <cell r="AA250">
            <v>30062</v>
          </cell>
          <cell r="AB250">
            <v>24820</v>
          </cell>
          <cell r="AC250">
            <v>38352</v>
          </cell>
          <cell r="AD250">
            <v>18067</v>
          </cell>
          <cell r="AE250">
            <v>15367</v>
          </cell>
          <cell r="AF250">
            <v>8128</v>
          </cell>
          <cell r="AG250">
            <v>18259</v>
          </cell>
          <cell r="AH250">
            <v>27896</v>
          </cell>
          <cell r="AI250">
            <v>31605</v>
          </cell>
          <cell r="AJ250">
            <v>33090</v>
          </cell>
          <cell r="AK250">
            <v>31613</v>
          </cell>
          <cell r="AL250">
            <v>26676</v>
          </cell>
          <cell r="AM250">
            <v>39332</v>
          </cell>
          <cell r="AN250">
            <v>27427</v>
          </cell>
          <cell r="AO250">
            <v>14156</v>
          </cell>
          <cell r="AP250">
            <v>10714</v>
          </cell>
          <cell r="AQ250">
            <v>1661</v>
          </cell>
          <cell r="AR250">
            <v>3392</v>
          </cell>
          <cell r="AT250">
            <v>4849</v>
          </cell>
          <cell r="DN250">
            <v>702281</v>
          </cell>
          <cell r="DO250">
            <v>250</v>
          </cell>
        </row>
        <row r="251">
          <cell r="A251" t="str">
            <v>Norwich-New London, CT Metro Area</v>
          </cell>
          <cell r="B251">
            <v>11876</v>
          </cell>
          <cell r="C251">
            <v>16040</v>
          </cell>
          <cell r="D251">
            <v>7660</v>
          </cell>
          <cell r="E251">
            <v>14113</v>
          </cell>
          <cell r="G251">
            <v>11525</v>
          </cell>
          <cell r="H251">
            <v>16600</v>
          </cell>
          <cell r="I251">
            <v>19523</v>
          </cell>
          <cell r="J251">
            <v>9127</v>
          </cell>
          <cell r="K251">
            <v>6248</v>
          </cell>
          <cell r="L251">
            <v>22211</v>
          </cell>
          <cell r="M251">
            <v>33228</v>
          </cell>
          <cell r="N251">
            <v>28811</v>
          </cell>
          <cell r="O251">
            <v>24342</v>
          </cell>
          <cell r="P251">
            <v>11157</v>
          </cell>
          <cell r="Q251">
            <v>25542</v>
          </cell>
          <cell r="R251">
            <v>6700</v>
          </cell>
          <cell r="S251">
            <v>1749</v>
          </cell>
          <cell r="T251">
            <v>7603</v>
          </cell>
          <cell r="DN251">
            <v>274055</v>
          </cell>
          <cell r="DO251">
            <v>251</v>
          </cell>
        </row>
        <row r="252">
          <cell r="A252" t="str">
            <v>Ocala, FL Metro Area</v>
          </cell>
          <cell r="B252">
            <v>6483</v>
          </cell>
          <cell r="C252">
            <v>20998</v>
          </cell>
          <cell r="D252">
            <v>16998</v>
          </cell>
          <cell r="E252">
            <v>14796</v>
          </cell>
          <cell r="F252">
            <v>32236</v>
          </cell>
          <cell r="G252">
            <v>15480</v>
          </cell>
          <cell r="H252">
            <v>12524</v>
          </cell>
          <cell r="I252">
            <v>17411</v>
          </cell>
          <cell r="J252">
            <v>20480</v>
          </cell>
          <cell r="K252">
            <v>14268</v>
          </cell>
          <cell r="L252">
            <v>17605</v>
          </cell>
          <cell r="M252">
            <v>12450</v>
          </cell>
          <cell r="N252">
            <v>27027</v>
          </cell>
          <cell r="O252">
            <v>17753</v>
          </cell>
          <cell r="P252">
            <v>10286</v>
          </cell>
          <cell r="Q252">
            <v>19782</v>
          </cell>
          <cell r="R252">
            <v>19701</v>
          </cell>
          <cell r="S252">
            <v>8072</v>
          </cell>
          <cell r="T252">
            <v>7511</v>
          </cell>
          <cell r="U252">
            <v>6376</v>
          </cell>
          <cell r="V252">
            <v>5978</v>
          </cell>
          <cell r="Z252">
            <v>2027</v>
          </cell>
          <cell r="AA252">
            <v>0</v>
          </cell>
          <cell r="AB252">
            <v>5056</v>
          </cell>
          <cell r="AE252">
            <v>0</v>
          </cell>
          <cell r="DN252">
            <v>331298</v>
          </cell>
          <cell r="DO252">
            <v>252</v>
          </cell>
        </row>
        <row r="253">
          <cell r="A253" t="str">
            <v>Ocean City, NJ Metro Area</v>
          </cell>
          <cell r="B253">
            <v>6227</v>
          </cell>
          <cell r="C253">
            <v>3618</v>
          </cell>
          <cell r="D253">
            <v>919</v>
          </cell>
          <cell r="F253">
            <v>5376</v>
          </cell>
          <cell r="I253">
            <v>4714</v>
          </cell>
          <cell r="K253">
            <v>3220</v>
          </cell>
          <cell r="M253">
            <v>2114</v>
          </cell>
          <cell r="N253">
            <v>4384</v>
          </cell>
          <cell r="O253">
            <v>2472</v>
          </cell>
          <cell r="Q253">
            <v>5668</v>
          </cell>
          <cell r="T253">
            <v>866</v>
          </cell>
          <cell r="U253">
            <v>8810</v>
          </cell>
          <cell r="X253">
            <v>4041</v>
          </cell>
          <cell r="Y253">
            <v>10013</v>
          </cell>
          <cell r="Z253">
            <v>3765</v>
          </cell>
          <cell r="AA253">
            <v>3270</v>
          </cell>
          <cell r="AB253">
            <v>12007</v>
          </cell>
          <cell r="AC253">
            <v>2667</v>
          </cell>
          <cell r="AD253">
            <v>7188</v>
          </cell>
          <cell r="AE253">
            <v>3607</v>
          </cell>
          <cell r="AF253">
            <v>2319</v>
          </cell>
          <cell r="DN253">
            <v>97265</v>
          </cell>
          <cell r="DO253">
            <v>253</v>
          </cell>
        </row>
        <row r="254">
          <cell r="A254" t="str">
            <v>Odessa, TX Metro Area</v>
          </cell>
          <cell r="B254">
            <v>13829</v>
          </cell>
          <cell r="C254">
            <v>39820</v>
          </cell>
          <cell r="D254">
            <v>18164</v>
          </cell>
          <cell r="E254">
            <v>29601</v>
          </cell>
          <cell r="F254">
            <v>3368</v>
          </cell>
          <cell r="G254">
            <v>12104</v>
          </cell>
          <cell r="H254">
            <v>16158</v>
          </cell>
          <cell r="J254">
            <v>4086</v>
          </cell>
          <cell r="DN254">
            <v>137130</v>
          </cell>
          <cell r="DO254">
            <v>254</v>
          </cell>
        </row>
        <row r="255">
          <cell r="A255" t="str">
            <v>Ogden-Clearfield, UT Metro Area</v>
          </cell>
          <cell r="B255">
            <v>19584</v>
          </cell>
          <cell r="C255">
            <v>28351</v>
          </cell>
          <cell r="D255">
            <v>25594</v>
          </cell>
          <cell r="E255">
            <v>38026</v>
          </cell>
          <cell r="F255">
            <v>34213</v>
          </cell>
          <cell r="G255">
            <v>36438</v>
          </cell>
          <cell r="H255">
            <v>33102</v>
          </cell>
          <cell r="I255">
            <v>49746</v>
          </cell>
          <cell r="J255">
            <v>33231</v>
          </cell>
          <cell r="K255">
            <v>53249</v>
          </cell>
          <cell r="L255">
            <v>29987</v>
          </cell>
          <cell r="M255">
            <v>12045</v>
          </cell>
          <cell r="N255">
            <v>10510</v>
          </cell>
          <cell r="O255">
            <v>17715</v>
          </cell>
          <cell r="P255">
            <v>6834</v>
          </cell>
          <cell r="Q255">
            <v>4023</v>
          </cell>
          <cell r="R255">
            <v>16622</v>
          </cell>
          <cell r="S255">
            <v>5827</v>
          </cell>
          <cell r="U255">
            <v>4408</v>
          </cell>
          <cell r="V255">
            <v>5962</v>
          </cell>
          <cell r="W255">
            <v>9036</v>
          </cell>
          <cell r="X255">
            <v>5056</v>
          </cell>
          <cell r="Y255">
            <v>15187</v>
          </cell>
          <cell r="Z255">
            <v>20174</v>
          </cell>
          <cell r="AA255">
            <v>22259</v>
          </cell>
          <cell r="AB255">
            <v>10005</v>
          </cell>
          <cell r="DN255">
            <v>547184</v>
          </cell>
          <cell r="DO255">
            <v>255</v>
          </cell>
        </row>
        <row r="256">
          <cell r="A256" t="str">
            <v>Oklahoma City, OK Metro Area</v>
          </cell>
          <cell r="B256">
            <v>6553</v>
          </cell>
          <cell r="C256">
            <v>24106</v>
          </cell>
          <cell r="D256">
            <v>46203</v>
          </cell>
          <cell r="E256">
            <v>60398</v>
          </cell>
          <cell r="F256">
            <v>81098</v>
          </cell>
          <cell r="G256">
            <v>64405</v>
          </cell>
          <cell r="H256">
            <v>83684</v>
          </cell>
          <cell r="I256">
            <v>83962</v>
          </cell>
          <cell r="J256">
            <v>50557</v>
          </cell>
          <cell r="K256">
            <v>79947</v>
          </cell>
          <cell r="L256">
            <v>82728</v>
          </cell>
          <cell r="M256">
            <v>73675</v>
          </cell>
          <cell r="N256">
            <v>47050</v>
          </cell>
          <cell r="O256">
            <v>40782</v>
          </cell>
          <cell r="P256">
            <v>62145</v>
          </cell>
          <cell r="Q256">
            <v>26895</v>
          </cell>
          <cell r="R256">
            <v>22791</v>
          </cell>
          <cell r="S256">
            <v>27433</v>
          </cell>
          <cell r="T256">
            <v>35455</v>
          </cell>
          <cell r="U256">
            <v>39614</v>
          </cell>
          <cell r="V256">
            <v>26794</v>
          </cell>
          <cell r="W256">
            <v>10742</v>
          </cell>
          <cell r="Y256">
            <v>16043</v>
          </cell>
          <cell r="Z256">
            <v>27355</v>
          </cell>
          <cell r="AA256">
            <v>7406</v>
          </cell>
          <cell r="AC256">
            <v>24107</v>
          </cell>
          <cell r="AD256">
            <v>2760</v>
          </cell>
          <cell r="AE256">
            <v>16626</v>
          </cell>
          <cell r="AG256">
            <v>4338</v>
          </cell>
          <cell r="AH256">
            <v>5497</v>
          </cell>
          <cell r="AI256">
            <v>9676</v>
          </cell>
          <cell r="AK256">
            <v>4662</v>
          </cell>
          <cell r="AL256">
            <v>1275</v>
          </cell>
          <cell r="AM256">
            <v>3945</v>
          </cell>
          <cell r="AN256">
            <v>9422</v>
          </cell>
          <cell r="AO256">
            <v>11731</v>
          </cell>
          <cell r="AQ256">
            <v>9509</v>
          </cell>
          <cell r="AR256">
            <v>3018</v>
          </cell>
          <cell r="AU256">
            <v>5061</v>
          </cell>
          <cell r="AV256">
            <v>8808</v>
          </cell>
          <cell r="BB256">
            <v>4731</v>
          </cell>
          <cell r="DN256">
            <v>1252987</v>
          </cell>
          <cell r="DO256">
            <v>256</v>
          </cell>
        </row>
        <row r="257">
          <cell r="A257" t="str">
            <v>Olympia, WA Metro Area</v>
          </cell>
          <cell r="B257">
            <v>8164</v>
          </cell>
          <cell r="C257">
            <v>26071</v>
          </cell>
          <cell r="D257">
            <v>23179</v>
          </cell>
          <cell r="E257">
            <v>22893</v>
          </cell>
          <cell r="F257">
            <v>32990</v>
          </cell>
          <cell r="G257">
            <v>32309</v>
          </cell>
          <cell r="H257">
            <v>26525</v>
          </cell>
          <cell r="I257">
            <v>18119</v>
          </cell>
          <cell r="J257">
            <v>10381</v>
          </cell>
          <cell r="L257">
            <v>5682</v>
          </cell>
          <cell r="O257">
            <v>3909</v>
          </cell>
          <cell r="P257">
            <v>11873</v>
          </cell>
          <cell r="Q257">
            <v>11136</v>
          </cell>
          <cell r="R257">
            <v>2246</v>
          </cell>
          <cell r="S257">
            <v>6400</v>
          </cell>
          <cell r="T257">
            <v>7154</v>
          </cell>
          <cell r="Z257">
            <v>3233</v>
          </cell>
          <cell r="DN257">
            <v>252264</v>
          </cell>
          <cell r="DO257">
            <v>257</v>
          </cell>
        </row>
        <row r="258">
          <cell r="A258" t="str">
            <v>Omaha-Council Bluffs, NE-IA Metro Area</v>
          </cell>
          <cell r="B258">
            <v>15582</v>
          </cell>
          <cell r="C258">
            <v>40642</v>
          </cell>
          <cell r="D258">
            <v>56820</v>
          </cell>
          <cell r="E258">
            <v>55680</v>
          </cell>
          <cell r="F258">
            <v>84999</v>
          </cell>
          <cell r="G258">
            <v>57466</v>
          </cell>
          <cell r="H258">
            <v>46464</v>
          </cell>
          <cell r="I258">
            <v>81148</v>
          </cell>
          <cell r="J258">
            <v>60105</v>
          </cell>
          <cell r="K258">
            <v>47457</v>
          </cell>
          <cell r="L258">
            <v>42121</v>
          </cell>
          <cell r="M258">
            <v>60707</v>
          </cell>
          <cell r="N258">
            <v>24152</v>
          </cell>
          <cell r="O258">
            <v>28537</v>
          </cell>
          <cell r="P258">
            <v>30422</v>
          </cell>
          <cell r="Q258">
            <v>5654</v>
          </cell>
          <cell r="R258">
            <v>15657</v>
          </cell>
          <cell r="S258">
            <v>14131</v>
          </cell>
          <cell r="T258">
            <v>16183</v>
          </cell>
          <cell r="U258">
            <v>2288</v>
          </cell>
          <cell r="V258">
            <v>2283</v>
          </cell>
          <cell r="W258">
            <v>6485</v>
          </cell>
          <cell r="X258">
            <v>11036</v>
          </cell>
          <cell r="Y258">
            <v>2522</v>
          </cell>
          <cell r="Z258">
            <v>4301</v>
          </cell>
          <cell r="AA258">
            <v>4435</v>
          </cell>
          <cell r="AB258">
            <v>4221</v>
          </cell>
          <cell r="AC258">
            <v>9040</v>
          </cell>
          <cell r="AE258">
            <v>7350</v>
          </cell>
          <cell r="AH258">
            <v>3210</v>
          </cell>
          <cell r="AI258">
            <v>3491</v>
          </cell>
          <cell r="AJ258">
            <v>4998</v>
          </cell>
          <cell r="AK258">
            <v>4891</v>
          </cell>
          <cell r="AL258">
            <v>2840</v>
          </cell>
          <cell r="AP258">
            <v>2547</v>
          </cell>
          <cell r="AR258">
            <v>5485</v>
          </cell>
          <cell r="DN258">
            <v>865350</v>
          </cell>
          <cell r="DO258">
            <v>258</v>
          </cell>
        </row>
        <row r="259">
          <cell r="A259" t="str">
            <v>Orlando-Kissimmee-Sanford, FL Metro Area</v>
          </cell>
          <cell r="B259">
            <v>17501</v>
          </cell>
          <cell r="C259">
            <v>17190</v>
          </cell>
          <cell r="D259">
            <v>62148</v>
          </cell>
          <cell r="E259">
            <v>74339</v>
          </cell>
          <cell r="F259">
            <v>75735</v>
          </cell>
          <cell r="G259">
            <v>167318</v>
          </cell>
          <cell r="H259">
            <v>114422</v>
          </cell>
          <cell r="I259">
            <v>97693</v>
          </cell>
          <cell r="J259">
            <v>110447</v>
          </cell>
          <cell r="K259">
            <v>135342</v>
          </cell>
          <cell r="L259">
            <v>87635</v>
          </cell>
          <cell r="M259">
            <v>113439</v>
          </cell>
          <cell r="N259">
            <v>144540</v>
          </cell>
          <cell r="O259">
            <v>150957</v>
          </cell>
          <cell r="P259">
            <v>69563</v>
          </cell>
          <cell r="Q259">
            <v>66440</v>
          </cell>
          <cell r="R259">
            <v>51572</v>
          </cell>
          <cell r="S259">
            <v>70719</v>
          </cell>
          <cell r="T259">
            <v>61269</v>
          </cell>
          <cell r="U259">
            <v>29254</v>
          </cell>
          <cell r="V259">
            <v>45511</v>
          </cell>
          <cell r="W259">
            <v>47198</v>
          </cell>
          <cell r="X259">
            <v>58589</v>
          </cell>
          <cell r="Y259">
            <v>20414</v>
          </cell>
          <cell r="Z259">
            <v>12594</v>
          </cell>
          <cell r="AA259">
            <v>5544</v>
          </cell>
          <cell r="AB259">
            <v>34141</v>
          </cell>
          <cell r="AC259">
            <v>26645</v>
          </cell>
          <cell r="AD259">
            <v>33126</v>
          </cell>
          <cell r="AE259">
            <v>3121</v>
          </cell>
          <cell r="AF259">
            <v>5848</v>
          </cell>
          <cell r="AG259">
            <v>32995</v>
          </cell>
          <cell r="AH259">
            <v>27545</v>
          </cell>
          <cell r="AI259">
            <v>3852</v>
          </cell>
          <cell r="AK259">
            <v>8833</v>
          </cell>
          <cell r="AL259">
            <v>10977</v>
          </cell>
          <cell r="AN259">
            <v>11248</v>
          </cell>
          <cell r="AO259">
            <v>4703</v>
          </cell>
          <cell r="AP259">
            <v>6670</v>
          </cell>
          <cell r="AQ259">
            <v>8347</v>
          </cell>
          <cell r="AS259">
            <v>3830</v>
          </cell>
          <cell r="AT259">
            <v>5157</v>
          </cell>
          <cell r="DN259">
            <v>2134411</v>
          </cell>
          <cell r="DO259">
            <v>259</v>
          </cell>
        </row>
        <row r="260">
          <cell r="A260" t="str">
            <v>Oshkosh-Neenah, WI Metro Area</v>
          </cell>
          <cell r="B260">
            <v>19156</v>
          </cell>
          <cell r="C260">
            <v>29993</v>
          </cell>
          <cell r="E260">
            <v>25054</v>
          </cell>
          <cell r="G260">
            <v>5016</v>
          </cell>
          <cell r="J260">
            <v>6932</v>
          </cell>
          <cell r="K260">
            <v>7848</v>
          </cell>
          <cell r="L260">
            <v>20913</v>
          </cell>
          <cell r="M260">
            <v>9032</v>
          </cell>
          <cell r="N260">
            <v>3709</v>
          </cell>
          <cell r="O260">
            <v>5913</v>
          </cell>
          <cell r="P260">
            <v>20888</v>
          </cell>
          <cell r="Q260">
            <v>7495</v>
          </cell>
          <cell r="R260">
            <v>5045</v>
          </cell>
          <cell r="DN260">
            <v>166994</v>
          </cell>
          <cell r="DO260">
            <v>260</v>
          </cell>
        </row>
        <row r="261">
          <cell r="A261" t="str">
            <v>Owensboro, KY Metro Area</v>
          </cell>
          <cell r="B261">
            <v>7489</v>
          </cell>
          <cell r="C261">
            <v>18543</v>
          </cell>
          <cell r="D261">
            <v>19071</v>
          </cell>
          <cell r="E261">
            <v>14530</v>
          </cell>
          <cell r="F261">
            <v>9703</v>
          </cell>
          <cell r="G261">
            <v>5103</v>
          </cell>
          <cell r="J261">
            <v>9879</v>
          </cell>
          <cell r="K261">
            <v>7684</v>
          </cell>
          <cell r="M261">
            <v>4654</v>
          </cell>
          <cell r="R261">
            <v>6889</v>
          </cell>
          <cell r="S261">
            <v>3084</v>
          </cell>
          <cell r="U261">
            <v>2516</v>
          </cell>
          <cell r="V261">
            <v>2578</v>
          </cell>
          <cell r="Z261">
            <v>3029</v>
          </cell>
          <cell r="DN261">
            <v>114752</v>
          </cell>
          <cell r="DO261">
            <v>261</v>
          </cell>
        </row>
        <row r="262">
          <cell r="A262" t="str">
            <v>Oxnard-Thousand Oaks-Ventura, CA Metro Area</v>
          </cell>
          <cell r="B262">
            <v>32449</v>
          </cell>
          <cell r="C262">
            <v>72037</v>
          </cell>
          <cell r="D262">
            <v>88942</v>
          </cell>
          <cell r="E262">
            <v>39309</v>
          </cell>
          <cell r="F262">
            <v>29600</v>
          </cell>
          <cell r="G262">
            <v>26233</v>
          </cell>
          <cell r="H262">
            <v>34500</v>
          </cell>
          <cell r="I262">
            <v>24064</v>
          </cell>
          <cell r="J262">
            <v>28440</v>
          </cell>
          <cell r="K262">
            <v>24050</v>
          </cell>
          <cell r="L262">
            <v>17214</v>
          </cell>
          <cell r="M262">
            <v>24028</v>
          </cell>
          <cell r="N262">
            <v>20380</v>
          </cell>
          <cell r="O262">
            <v>18319</v>
          </cell>
          <cell r="P262">
            <v>10263</v>
          </cell>
          <cell r="Q262">
            <v>25294</v>
          </cell>
          <cell r="R262">
            <v>20535</v>
          </cell>
          <cell r="S262">
            <v>49733</v>
          </cell>
          <cell r="T262">
            <v>25111</v>
          </cell>
          <cell r="U262">
            <v>21855</v>
          </cell>
          <cell r="V262">
            <v>37713</v>
          </cell>
          <cell r="W262">
            <v>19791</v>
          </cell>
          <cell r="X262">
            <v>7669</v>
          </cell>
          <cell r="Y262">
            <v>15405</v>
          </cell>
          <cell r="Z262">
            <v>30494</v>
          </cell>
          <cell r="AA262">
            <v>14119</v>
          </cell>
          <cell r="AB262">
            <v>20422</v>
          </cell>
          <cell r="AC262">
            <v>14978</v>
          </cell>
          <cell r="AD262">
            <v>14813</v>
          </cell>
          <cell r="AE262">
            <v>14683</v>
          </cell>
          <cell r="AF262">
            <v>819</v>
          </cell>
          <cell r="BQ262">
            <v>56</v>
          </cell>
          <cell r="DN262">
            <v>823318</v>
          </cell>
          <cell r="DO262">
            <v>262</v>
          </cell>
        </row>
        <row r="263">
          <cell r="A263" t="str">
            <v>Palm Bay-Melbourne-Titusville, FL Metro Area</v>
          </cell>
          <cell r="C263">
            <v>29498</v>
          </cell>
          <cell r="D263">
            <v>25570</v>
          </cell>
          <cell r="E263">
            <v>25713</v>
          </cell>
          <cell r="F263">
            <v>34076</v>
          </cell>
          <cell r="G263">
            <v>26288</v>
          </cell>
          <cell r="H263">
            <v>18902</v>
          </cell>
          <cell r="I263">
            <v>4856</v>
          </cell>
          <cell r="J263">
            <v>19925</v>
          </cell>
          <cell r="K263">
            <v>22002</v>
          </cell>
          <cell r="L263">
            <v>24214</v>
          </cell>
          <cell r="M263">
            <v>13743</v>
          </cell>
          <cell r="N263">
            <v>14030</v>
          </cell>
          <cell r="O263">
            <v>15425</v>
          </cell>
          <cell r="P263">
            <v>18403</v>
          </cell>
          <cell r="S263">
            <v>14326</v>
          </cell>
          <cell r="U263">
            <v>7886</v>
          </cell>
          <cell r="V263">
            <v>6113</v>
          </cell>
          <cell r="W263">
            <v>12517</v>
          </cell>
          <cell r="X263">
            <v>12946</v>
          </cell>
          <cell r="Y263">
            <v>5813</v>
          </cell>
          <cell r="Z263">
            <v>11934</v>
          </cell>
          <cell r="AA263">
            <v>34673</v>
          </cell>
          <cell r="AB263">
            <v>14774</v>
          </cell>
          <cell r="AC263">
            <v>20764</v>
          </cell>
          <cell r="AD263">
            <v>7</v>
          </cell>
          <cell r="AE263">
            <v>7917</v>
          </cell>
          <cell r="AF263">
            <v>11233</v>
          </cell>
          <cell r="AH263">
            <v>6736</v>
          </cell>
          <cell r="AI263">
            <v>10260</v>
          </cell>
          <cell r="AJ263">
            <v>6626</v>
          </cell>
          <cell r="AM263">
            <v>3870</v>
          </cell>
          <cell r="AO263">
            <v>6650</v>
          </cell>
          <cell r="AP263">
            <v>9159</v>
          </cell>
          <cell r="AQ263">
            <v>7537</v>
          </cell>
          <cell r="AR263">
            <v>8335</v>
          </cell>
          <cell r="AS263">
            <v>4163</v>
          </cell>
          <cell r="AT263">
            <v>8489</v>
          </cell>
          <cell r="AU263">
            <v>5538</v>
          </cell>
          <cell r="AV263">
            <v>4783</v>
          </cell>
          <cell r="AY263">
            <v>0</v>
          </cell>
          <cell r="AZ263">
            <v>7682</v>
          </cell>
          <cell r="DN263">
            <v>543376</v>
          </cell>
          <cell r="DO263">
            <v>263</v>
          </cell>
        </row>
        <row r="264">
          <cell r="A264" t="str">
            <v>Palm Coast, FL Metro Area</v>
          </cell>
          <cell r="C264">
            <v>29392</v>
          </cell>
          <cell r="D264">
            <v>14614</v>
          </cell>
          <cell r="E264">
            <v>24898</v>
          </cell>
          <cell r="F264">
            <v>4982</v>
          </cell>
          <cell r="J264">
            <v>11583</v>
          </cell>
          <cell r="K264">
            <v>5463</v>
          </cell>
          <cell r="M264">
            <v>4764</v>
          </cell>
          <cell r="DN264">
            <v>95696</v>
          </cell>
          <cell r="DO264">
            <v>264</v>
          </cell>
        </row>
        <row r="265">
          <cell r="A265" t="str">
            <v>Panama City-Lynn Haven-Panama City Beach, FL Metro Area</v>
          </cell>
          <cell r="C265">
            <v>16994</v>
          </cell>
          <cell r="D265">
            <v>14567</v>
          </cell>
          <cell r="E265">
            <v>16703</v>
          </cell>
          <cell r="F265">
            <v>23983</v>
          </cell>
          <cell r="G265">
            <v>24487</v>
          </cell>
          <cell r="H265">
            <v>19154</v>
          </cell>
          <cell r="I265">
            <v>8108</v>
          </cell>
          <cell r="J265">
            <v>1878</v>
          </cell>
          <cell r="K265">
            <v>5329</v>
          </cell>
          <cell r="L265">
            <v>5928</v>
          </cell>
          <cell r="M265">
            <v>7960</v>
          </cell>
          <cell r="O265">
            <v>3166</v>
          </cell>
          <cell r="Q265">
            <v>6895</v>
          </cell>
          <cell r="T265">
            <v>4073</v>
          </cell>
          <cell r="V265">
            <v>8552</v>
          </cell>
          <cell r="W265">
            <v>1075</v>
          </cell>
          <cell r="DN265">
            <v>168852</v>
          </cell>
          <cell r="DO265">
            <v>265</v>
          </cell>
        </row>
        <row r="266">
          <cell r="A266" t="str">
            <v>Parkersburg-Marietta-Vienna, WV-OH Metro Area</v>
          </cell>
          <cell r="B266">
            <v>2726</v>
          </cell>
          <cell r="C266">
            <v>18887</v>
          </cell>
          <cell r="D266">
            <v>20922</v>
          </cell>
          <cell r="E266">
            <v>6076</v>
          </cell>
          <cell r="F266">
            <v>1890</v>
          </cell>
          <cell r="G266">
            <v>26087</v>
          </cell>
          <cell r="H266">
            <v>10297</v>
          </cell>
          <cell r="I266">
            <v>1943</v>
          </cell>
          <cell r="J266">
            <v>4885</v>
          </cell>
          <cell r="L266">
            <v>6849</v>
          </cell>
          <cell r="M266">
            <v>13804</v>
          </cell>
          <cell r="N266">
            <v>11721</v>
          </cell>
          <cell r="O266">
            <v>2450</v>
          </cell>
          <cell r="P266">
            <v>1545</v>
          </cell>
          <cell r="Q266">
            <v>4057</v>
          </cell>
          <cell r="S266">
            <v>9424</v>
          </cell>
          <cell r="T266">
            <v>4156</v>
          </cell>
          <cell r="V266">
            <v>5111</v>
          </cell>
          <cell r="Y266">
            <v>5777</v>
          </cell>
          <cell r="Z266">
            <v>3449</v>
          </cell>
          <cell r="DN266">
            <v>162056</v>
          </cell>
          <cell r="DO266">
            <v>266</v>
          </cell>
        </row>
        <row r="267">
          <cell r="A267" t="str">
            <v>Pascagoula, MS Metro Area</v>
          </cell>
          <cell r="B267">
            <v>2133</v>
          </cell>
          <cell r="C267">
            <v>9763</v>
          </cell>
          <cell r="D267">
            <v>16364</v>
          </cell>
          <cell r="E267">
            <v>3637</v>
          </cell>
          <cell r="F267">
            <v>2557</v>
          </cell>
          <cell r="G267">
            <v>12222</v>
          </cell>
          <cell r="H267">
            <v>1016</v>
          </cell>
          <cell r="I267">
            <v>6504</v>
          </cell>
          <cell r="J267">
            <v>5986</v>
          </cell>
          <cell r="L267">
            <v>11240</v>
          </cell>
          <cell r="N267">
            <v>9099</v>
          </cell>
          <cell r="P267">
            <v>5505</v>
          </cell>
          <cell r="R267">
            <v>24583</v>
          </cell>
          <cell r="S267">
            <v>14727</v>
          </cell>
          <cell r="U267">
            <v>14332</v>
          </cell>
          <cell r="AG267">
            <v>5783</v>
          </cell>
          <cell r="AH267">
            <v>6450</v>
          </cell>
          <cell r="AN267">
            <v>2773</v>
          </cell>
          <cell r="AO267">
            <v>7572</v>
          </cell>
          <cell r="DN267">
            <v>162246</v>
          </cell>
          <cell r="DO267">
            <v>267</v>
          </cell>
        </row>
        <row r="268">
          <cell r="A268" t="str">
            <v>Pensacola-Ferry Pass-Brent, FL Metro Area</v>
          </cell>
          <cell r="B268">
            <v>1603</v>
          </cell>
          <cell r="C268">
            <v>14109</v>
          </cell>
          <cell r="D268">
            <v>22318</v>
          </cell>
          <cell r="E268">
            <v>17940</v>
          </cell>
          <cell r="F268">
            <v>48101</v>
          </cell>
          <cell r="G268">
            <v>31276</v>
          </cell>
          <cell r="H268">
            <v>38664</v>
          </cell>
          <cell r="I268">
            <v>27648</v>
          </cell>
          <cell r="J268">
            <v>26350</v>
          </cell>
          <cell r="K268">
            <v>17035</v>
          </cell>
          <cell r="L268">
            <v>17788</v>
          </cell>
          <cell r="M268">
            <v>11718</v>
          </cell>
          <cell r="N268">
            <v>11343</v>
          </cell>
          <cell r="O268">
            <v>21463</v>
          </cell>
          <cell r="P268">
            <v>16916</v>
          </cell>
          <cell r="Q268">
            <v>16042</v>
          </cell>
          <cell r="S268">
            <v>32868</v>
          </cell>
          <cell r="T268">
            <v>15028</v>
          </cell>
          <cell r="U268">
            <v>4996</v>
          </cell>
          <cell r="V268">
            <v>11903</v>
          </cell>
          <cell r="X268">
            <v>11253</v>
          </cell>
          <cell r="Y268">
            <v>7585</v>
          </cell>
          <cell r="Z268">
            <v>2634</v>
          </cell>
          <cell r="AE268">
            <v>4366</v>
          </cell>
          <cell r="AG268">
            <v>5068</v>
          </cell>
          <cell r="AJ268">
            <v>8185</v>
          </cell>
          <cell r="AO268">
            <v>4791</v>
          </cell>
          <cell r="DN268">
            <v>448991</v>
          </cell>
          <cell r="DO268">
            <v>268</v>
          </cell>
        </row>
        <row r="269">
          <cell r="A269" t="str">
            <v>Peoria, IL Metro Area</v>
          </cell>
          <cell r="B269">
            <v>4503</v>
          </cell>
          <cell r="C269">
            <v>29571</v>
          </cell>
          <cell r="D269">
            <v>31571</v>
          </cell>
          <cell r="E269">
            <v>42938</v>
          </cell>
          <cell r="F269">
            <v>18613</v>
          </cell>
          <cell r="G269">
            <v>38410</v>
          </cell>
          <cell r="H269">
            <v>11580</v>
          </cell>
          <cell r="I269">
            <v>10890</v>
          </cell>
          <cell r="J269">
            <v>51136</v>
          </cell>
          <cell r="K269">
            <v>19945</v>
          </cell>
          <cell r="L269">
            <v>14118</v>
          </cell>
          <cell r="M269">
            <v>5669</v>
          </cell>
          <cell r="N269">
            <v>9387</v>
          </cell>
          <cell r="O269">
            <v>14930</v>
          </cell>
          <cell r="P269">
            <v>3814</v>
          </cell>
          <cell r="R269">
            <v>18036</v>
          </cell>
          <cell r="S269">
            <v>6675</v>
          </cell>
          <cell r="U269">
            <v>10532</v>
          </cell>
          <cell r="V269">
            <v>3383</v>
          </cell>
          <cell r="X269">
            <v>7343</v>
          </cell>
          <cell r="Z269">
            <v>5194</v>
          </cell>
          <cell r="AB269">
            <v>2693</v>
          </cell>
          <cell r="AE269">
            <v>4519</v>
          </cell>
          <cell r="AF269">
            <v>2276</v>
          </cell>
          <cell r="AG269">
            <v>5531</v>
          </cell>
          <cell r="AH269">
            <v>3301</v>
          </cell>
          <cell r="AI269">
            <v>2628</v>
          </cell>
          <cell r="DN269">
            <v>379186</v>
          </cell>
          <cell r="DO269">
            <v>269</v>
          </cell>
        </row>
        <row r="270">
          <cell r="A270" t="str">
            <v>Philadelphia-Camden-Wilmington, PA-NJ-DE-MD Metro Area</v>
          </cell>
          <cell r="B270">
            <v>79851</v>
          </cell>
          <cell r="C270">
            <v>155678</v>
          </cell>
          <cell r="D270">
            <v>215102</v>
          </cell>
          <cell r="E270">
            <v>223850</v>
          </cell>
          <cell r="F270">
            <v>228966</v>
          </cell>
          <cell r="G270">
            <v>240964</v>
          </cell>
          <cell r="H270">
            <v>269890</v>
          </cell>
          <cell r="I270">
            <v>274687</v>
          </cell>
          <cell r="J270">
            <v>272754</v>
          </cell>
          <cell r="K270">
            <v>185092</v>
          </cell>
          <cell r="L270">
            <v>192755</v>
          </cell>
          <cell r="M270">
            <v>179961</v>
          </cell>
          <cell r="N270">
            <v>196774</v>
          </cell>
          <cell r="O270">
            <v>169178</v>
          </cell>
          <cell r="P270">
            <v>177746</v>
          </cell>
          <cell r="Q270">
            <v>212480</v>
          </cell>
          <cell r="R270">
            <v>175985</v>
          </cell>
          <cell r="S270">
            <v>135768</v>
          </cell>
          <cell r="T270">
            <v>142650</v>
          </cell>
          <cell r="U270">
            <v>165733</v>
          </cell>
          <cell r="V270">
            <v>170068</v>
          </cell>
          <cell r="W270">
            <v>148896</v>
          </cell>
          <cell r="X270">
            <v>141950</v>
          </cell>
          <cell r="Y270">
            <v>182021</v>
          </cell>
          <cell r="Z270">
            <v>97257</v>
          </cell>
          <cell r="AA270">
            <v>124156</v>
          </cell>
          <cell r="AB270">
            <v>111832</v>
          </cell>
          <cell r="AC270">
            <v>95625</v>
          </cell>
          <cell r="AD270">
            <v>92536</v>
          </cell>
          <cell r="AE270">
            <v>84651</v>
          </cell>
          <cell r="AF270">
            <v>79446</v>
          </cell>
          <cell r="AG270">
            <v>86118</v>
          </cell>
          <cell r="AH270">
            <v>92838</v>
          </cell>
          <cell r="AI270">
            <v>45480</v>
          </cell>
          <cell r="AJ270">
            <v>83335</v>
          </cell>
          <cell r="AK270">
            <v>73273</v>
          </cell>
          <cell r="AL270">
            <v>47463</v>
          </cell>
          <cell r="AM270">
            <v>49645</v>
          </cell>
          <cell r="AN270">
            <v>17929</v>
          </cell>
          <cell r="AO270">
            <v>38792</v>
          </cell>
          <cell r="AP270">
            <v>26187</v>
          </cell>
          <cell r="AQ270">
            <v>12066</v>
          </cell>
          <cell r="AR270">
            <v>37706</v>
          </cell>
          <cell r="AS270">
            <v>11130</v>
          </cell>
          <cell r="AT270">
            <v>34674</v>
          </cell>
          <cell r="AV270">
            <v>14339</v>
          </cell>
          <cell r="AW270">
            <v>5076</v>
          </cell>
          <cell r="AX270">
            <v>21152</v>
          </cell>
          <cell r="AY270">
            <v>9673</v>
          </cell>
          <cell r="AZ270">
            <v>2235</v>
          </cell>
          <cell r="BA270">
            <v>7236</v>
          </cell>
          <cell r="BB270">
            <v>3477</v>
          </cell>
          <cell r="BD270">
            <v>17053</v>
          </cell>
          <cell r="BE270">
            <v>4164</v>
          </cell>
          <cell r="DN270">
            <v>5965343</v>
          </cell>
          <cell r="DO270">
            <v>270</v>
          </cell>
        </row>
        <row r="271">
          <cell r="A271" t="str">
            <v>Phoenix-Mesa-Glendale, AZ Metro Area</v>
          </cell>
          <cell r="B271">
            <v>17495</v>
          </cell>
          <cell r="C271">
            <v>26070</v>
          </cell>
          <cell r="D271">
            <v>54172</v>
          </cell>
          <cell r="E271">
            <v>100454</v>
          </cell>
          <cell r="F271">
            <v>129864</v>
          </cell>
          <cell r="G271">
            <v>143878</v>
          </cell>
          <cell r="H271">
            <v>136158</v>
          </cell>
          <cell r="I271">
            <v>132896</v>
          </cell>
          <cell r="J271">
            <v>191515</v>
          </cell>
          <cell r="K271">
            <v>189271</v>
          </cell>
          <cell r="L271">
            <v>209215</v>
          </cell>
          <cell r="M271">
            <v>162918</v>
          </cell>
          <cell r="N271">
            <v>205653</v>
          </cell>
          <cell r="O271">
            <v>215335</v>
          </cell>
          <cell r="P271">
            <v>195568</v>
          </cell>
          <cell r="Q271">
            <v>187888</v>
          </cell>
          <cell r="R271">
            <v>172673</v>
          </cell>
          <cell r="S271">
            <v>167231</v>
          </cell>
          <cell r="T271">
            <v>180649</v>
          </cell>
          <cell r="U271">
            <v>122176</v>
          </cell>
          <cell r="V271">
            <v>127589</v>
          </cell>
          <cell r="W271">
            <v>117211</v>
          </cell>
          <cell r="X271">
            <v>117407</v>
          </cell>
          <cell r="Y271">
            <v>117002</v>
          </cell>
          <cell r="Z271">
            <v>97888</v>
          </cell>
          <cell r="AA271">
            <v>62259</v>
          </cell>
          <cell r="AB271">
            <v>64251</v>
          </cell>
          <cell r="AC271">
            <v>68177</v>
          </cell>
          <cell r="AD271">
            <v>46720</v>
          </cell>
          <cell r="AE271">
            <v>51054</v>
          </cell>
          <cell r="AF271">
            <v>30397</v>
          </cell>
          <cell r="AG271">
            <v>15644</v>
          </cell>
          <cell r="AH271">
            <v>33958</v>
          </cell>
          <cell r="AI271">
            <v>37121</v>
          </cell>
          <cell r="AJ271">
            <v>12712</v>
          </cell>
          <cell r="AK271">
            <v>21265</v>
          </cell>
          <cell r="AL271">
            <v>25055</v>
          </cell>
          <cell r="AM271">
            <v>5259</v>
          </cell>
          <cell r="AN271">
            <v>5970</v>
          </cell>
          <cell r="AO271">
            <v>9160</v>
          </cell>
          <cell r="AP271">
            <v>22578</v>
          </cell>
          <cell r="AQ271">
            <v>7019</v>
          </cell>
          <cell r="AR271">
            <v>9217</v>
          </cell>
          <cell r="AS271">
            <v>17057</v>
          </cell>
          <cell r="AT271">
            <v>8628</v>
          </cell>
          <cell r="AU271">
            <v>13463</v>
          </cell>
          <cell r="AV271">
            <v>1919</v>
          </cell>
          <cell r="AW271">
            <v>9079</v>
          </cell>
          <cell r="AY271">
            <v>9608</v>
          </cell>
          <cell r="AZ271">
            <v>12149</v>
          </cell>
          <cell r="BA271">
            <v>6264</v>
          </cell>
          <cell r="BB271">
            <v>4861</v>
          </cell>
          <cell r="BC271">
            <v>15329</v>
          </cell>
          <cell r="BD271">
            <v>7944</v>
          </cell>
          <cell r="BF271">
            <v>4096</v>
          </cell>
          <cell r="BG271">
            <v>4212</v>
          </cell>
          <cell r="BM271">
            <v>5143</v>
          </cell>
          <cell r="BP271">
            <v>4305</v>
          </cell>
          <cell r="BS271">
            <v>0</v>
          </cell>
          <cell r="BU271">
            <v>2420</v>
          </cell>
          <cell r="CP271">
            <v>5250</v>
          </cell>
          <cell r="CQ271">
            <v>4939</v>
          </cell>
          <cell r="CR271">
            <v>4681</v>
          </cell>
          <cell r="CT271">
            <v>1997</v>
          </cell>
          <cell r="CV271">
            <v>3551</v>
          </cell>
          <cell r="DN271">
            <v>4192887</v>
          </cell>
          <cell r="DO271">
            <v>271</v>
          </cell>
        </row>
        <row r="272">
          <cell r="A272" t="str">
            <v>Pine Bluff, AR Metro Area</v>
          </cell>
          <cell r="B272">
            <v>4443</v>
          </cell>
          <cell r="C272">
            <v>13318</v>
          </cell>
          <cell r="D272">
            <v>17746</v>
          </cell>
          <cell r="E272">
            <v>1760</v>
          </cell>
          <cell r="F272">
            <v>4051</v>
          </cell>
          <cell r="G272">
            <v>12620</v>
          </cell>
          <cell r="H272">
            <v>1245</v>
          </cell>
          <cell r="I272">
            <v>9995</v>
          </cell>
          <cell r="J272">
            <v>3557</v>
          </cell>
          <cell r="N272">
            <v>3259</v>
          </cell>
          <cell r="R272">
            <v>5441</v>
          </cell>
          <cell r="S272">
            <v>4895</v>
          </cell>
          <cell r="U272">
            <v>3582</v>
          </cell>
          <cell r="W272">
            <v>2443</v>
          </cell>
          <cell r="AA272">
            <v>2958</v>
          </cell>
          <cell r="AB272">
            <v>5151</v>
          </cell>
          <cell r="AE272">
            <v>3794</v>
          </cell>
          <cell r="DN272">
            <v>100258</v>
          </cell>
          <cell r="DO272">
            <v>272</v>
          </cell>
        </row>
        <row r="273">
          <cell r="A273" t="str">
            <v>Pittsburgh, PA Metro Area</v>
          </cell>
          <cell r="B273">
            <v>17311</v>
          </cell>
          <cell r="C273">
            <v>56367</v>
          </cell>
          <cell r="D273">
            <v>78824</v>
          </cell>
          <cell r="E273">
            <v>122810</v>
          </cell>
          <cell r="F273">
            <v>106873</v>
          </cell>
          <cell r="G273">
            <v>127754</v>
          </cell>
          <cell r="H273">
            <v>98316</v>
          </cell>
          <cell r="I273">
            <v>92922</v>
          </cell>
          <cell r="J273">
            <v>76431</v>
          </cell>
          <cell r="K273">
            <v>109065</v>
          </cell>
          <cell r="L273">
            <v>81073</v>
          </cell>
          <cell r="M273">
            <v>74463</v>
          </cell>
          <cell r="N273">
            <v>57536</v>
          </cell>
          <cell r="O273">
            <v>72205</v>
          </cell>
          <cell r="P273">
            <v>56880</v>
          </cell>
          <cell r="Q273">
            <v>83773</v>
          </cell>
          <cell r="R273">
            <v>34862</v>
          </cell>
          <cell r="S273">
            <v>62332</v>
          </cell>
          <cell r="T273">
            <v>80422</v>
          </cell>
          <cell r="U273">
            <v>29023</v>
          </cell>
          <cell r="V273">
            <v>50567</v>
          </cell>
          <cell r="W273">
            <v>71637</v>
          </cell>
          <cell r="X273">
            <v>60324</v>
          </cell>
          <cell r="Y273">
            <v>45080</v>
          </cell>
          <cell r="Z273">
            <v>34200</v>
          </cell>
          <cell r="AA273">
            <v>61207</v>
          </cell>
          <cell r="AB273">
            <v>53009</v>
          </cell>
          <cell r="AC273">
            <v>48044</v>
          </cell>
          <cell r="AD273">
            <v>21500</v>
          </cell>
          <cell r="AE273">
            <v>43237</v>
          </cell>
          <cell r="AF273">
            <v>46649</v>
          </cell>
          <cell r="AG273">
            <v>27597</v>
          </cell>
          <cell r="AH273">
            <v>21238</v>
          </cell>
          <cell r="AI273">
            <v>34092</v>
          </cell>
          <cell r="AJ273">
            <v>31878</v>
          </cell>
          <cell r="AK273">
            <v>21119</v>
          </cell>
          <cell r="AL273">
            <v>16042</v>
          </cell>
          <cell r="AM273">
            <v>11065</v>
          </cell>
          <cell r="AN273">
            <v>18230</v>
          </cell>
          <cell r="AO273">
            <v>6983</v>
          </cell>
          <cell r="AP273">
            <v>30376</v>
          </cell>
          <cell r="AQ273">
            <v>12034</v>
          </cell>
          <cell r="AR273">
            <v>8414</v>
          </cell>
          <cell r="AS273">
            <v>24007</v>
          </cell>
          <cell r="AT273">
            <v>3882</v>
          </cell>
          <cell r="AU273">
            <v>6837</v>
          </cell>
          <cell r="AV273">
            <v>10766</v>
          </cell>
          <cell r="AW273">
            <v>5591</v>
          </cell>
          <cell r="AY273">
            <v>3575</v>
          </cell>
          <cell r="AZ273">
            <v>4723</v>
          </cell>
          <cell r="BB273">
            <v>3140</v>
          </cell>
          <cell r="DN273">
            <v>2356285</v>
          </cell>
          <cell r="DO273">
            <v>273</v>
          </cell>
        </row>
        <row r="274">
          <cell r="A274" t="str">
            <v>Pittsfield, MA Metro Area</v>
          </cell>
          <cell r="B274">
            <v>17089</v>
          </cell>
          <cell r="C274">
            <v>16147</v>
          </cell>
          <cell r="D274">
            <v>11501</v>
          </cell>
          <cell r="F274">
            <v>12267</v>
          </cell>
          <cell r="G274">
            <v>5025</v>
          </cell>
          <cell r="I274">
            <v>2032</v>
          </cell>
          <cell r="K274">
            <v>9178</v>
          </cell>
          <cell r="L274">
            <v>1746</v>
          </cell>
          <cell r="M274">
            <v>3253</v>
          </cell>
          <cell r="N274">
            <v>2116</v>
          </cell>
          <cell r="O274">
            <v>4997</v>
          </cell>
          <cell r="P274">
            <v>3689</v>
          </cell>
          <cell r="R274">
            <v>3116</v>
          </cell>
          <cell r="S274">
            <v>14635</v>
          </cell>
          <cell r="T274">
            <v>9756</v>
          </cell>
          <cell r="U274">
            <v>3791</v>
          </cell>
          <cell r="V274">
            <v>3588</v>
          </cell>
          <cell r="W274">
            <v>2527</v>
          </cell>
          <cell r="Y274">
            <v>1509</v>
          </cell>
          <cell r="AA274">
            <v>3257</v>
          </cell>
          <cell r="DN274">
            <v>131219</v>
          </cell>
          <cell r="DO274">
            <v>274</v>
          </cell>
        </row>
        <row r="275">
          <cell r="A275" t="str">
            <v>Pocatello, ID Metro Area</v>
          </cell>
          <cell r="B275">
            <v>10816</v>
          </cell>
          <cell r="C275">
            <v>25137</v>
          </cell>
          <cell r="D275">
            <v>16249</v>
          </cell>
          <cell r="E275">
            <v>14562</v>
          </cell>
          <cell r="F275">
            <v>3429</v>
          </cell>
          <cell r="G275">
            <v>1857</v>
          </cell>
          <cell r="I275">
            <v>2117</v>
          </cell>
          <cell r="J275">
            <v>3664</v>
          </cell>
          <cell r="R275">
            <v>1651</v>
          </cell>
          <cell r="W275">
            <v>6166</v>
          </cell>
          <cell r="AA275">
            <v>5008</v>
          </cell>
          <cell r="DN275">
            <v>90656</v>
          </cell>
          <cell r="DO275">
            <v>275</v>
          </cell>
        </row>
        <row r="276">
          <cell r="A276" t="str">
            <v>Portland-South Portland-Biddeford, ME Metro Area</v>
          </cell>
          <cell r="B276">
            <v>22982</v>
          </cell>
          <cell r="C276">
            <v>24900</v>
          </cell>
          <cell r="D276">
            <v>24706</v>
          </cell>
          <cell r="E276">
            <v>22882</v>
          </cell>
          <cell r="F276">
            <v>11244</v>
          </cell>
          <cell r="G276">
            <v>19103</v>
          </cell>
          <cell r="H276">
            <v>7819</v>
          </cell>
          <cell r="I276">
            <v>14403</v>
          </cell>
          <cell r="J276">
            <v>2892</v>
          </cell>
          <cell r="K276">
            <v>18381</v>
          </cell>
          <cell r="L276">
            <v>10816</v>
          </cell>
          <cell r="M276">
            <v>9963</v>
          </cell>
          <cell r="N276">
            <v>9272</v>
          </cell>
          <cell r="O276">
            <v>13180</v>
          </cell>
          <cell r="P276">
            <v>23484</v>
          </cell>
          <cell r="Q276">
            <v>28685</v>
          </cell>
          <cell r="R276">
            <v>11861</v>
          </cell>
          <cell r="S276">
            <v>1964</v>
          </cell>
          <cell r="T276">
            <v>10549</v>
          </cell>
          <cell r="U276">
            <v>2758</v>
          </cell>
          <cell r="V276">
            <v>17347</v>
          </cell>
          <cell r="W276">
            <v>17060</v>
          </cell>
          <cell r="X276">
            <v>10592</v>
          </cell>
          <cell r="Y276">
            <v>15105</v>
          </cell>
          <cell r="Z276">
            <v>24254</v>
          </cell>
          <cell r="AB276">
            <v>9155</v>
          </cell>
          <cell r="AC276">
            <v>7024</v>
          </cell>
          <cell r="AD276">
            <v>8921</v>
          </cell>
          <cell r="AE276">
            <v>5627</v>
          </cell>
          <cell r="AF276">
            <v>29935</v>
          </cell>
          <cell r="AG276">
            <v>12587</v>
          </cell>
          <cell r="AJ276">
            <v>4576</v>
          </cell>
          <cell r="AL276">
            <v>7940</v>
          </cell>
          <cell r="AM276">
            <v>9442</v>
          </cell>
          <cell r="AN276">
            <v>5638</v>
          </cell>
          <cell r="AO276">
            <v>14466</v>
          </cell>
          <cell r="AP276">
            <v>6891</v>
          </cell>
          <cell r="AT276">
            <v>9587</v>
          </cell>
          <cell r="AU276">
            <v>6107</v>
          </cell>
          <cell r="DN276">
            <v>514098</v>
          </cell>
          <cell r="DO276">
            <v>276</v>
          </cell>
        </row>
        <row r="277">
          <cell r="A277" t="str">
            <v>Portland-Vancouver-Hillsboro, OR-WA Metro Area</v>
          </cell>
          <cell r="B277">
            <v>29184</v>
          </cell>
          <cell r="C277">
            <v>52417</v>
          </cell>
          <cell r="D277">
            <v>67743</v>
          </cell>
          <cell r="E277">
            <v>104347</v>
          </cell>
          <cell r="F277">
            <v>137685</v>
          </cell>
          <cell r="G277">
            <v>114603</v>
          </cell>
          <cell r="H277">
            <v>145872</v>
          </cell>
          <cell r="I277">
            <v>121742</v>
          </cell>
          <cell r="J277">
            <v>193020</v>
          </cell>
          <cell r="K277">
            <v>184397</v>
          </cell>
          <cell r="L277">
            <v>177976</v>
          </cell>
          <cell r="M277">
            <v>122913</v>
          </cell>
          <cell r="N277">
            <v>128658</v>
          </cell>
          <cell r="O277">
            <v>99581</v>
          </cell>
          <cell r="P277">
            <v>74405</v>
          </cell>
          <cell r="Q277">
            <v>55877</v>
          </cell>
          <cell r="R277">
            <v>27874</v>
          </cell>
          <cell r="S277">
            <v>32249</v>
          </cell>
          <cell r="T277">
            <v>43752</v>
          </cell>
          <cell r="U277">
            <v>38474</v>
          </cell>
          <cell r="V277">
            <v>39449</v>
          </cell>
          <cell r="W277">
            <v>23849</v>
          </cell>
          <cell r="X277">
            <v>14984</v>
          </cell>
          <cell r="Y277">
            <v>17974</v>
          </cell>
          <cell r="Z277">
            <v>22697</v>
          </cell>
          <cell r="AA277">
            <v>27364</v>
          </cell>
          <cell r="AB277">
            <v>14845</v>
          </cell>
          <cell r="AC277">
            <v>20484</v>
          </cell>
          <cell r="AE277">
            <v>9590</v>
          </cell>
          <cell r="AF277">
            <v>2844</v>
          </cell>
          <cell r="AH277">
            <v>11318</v>
          </cell>
          <cell r="AI277">
            <v>25693</v>
          </cell>
          <cell r="AJ277">
            <v>6011</v>
          </cell>
          <cell r="AK277">
            <v>3191</v>
          </cell>
          <cell r="AL277">
            <v>4123</v>
          </cell>
          <cell r="AP277">
            <v>2010</v>
          </cell>
          <cell r="AQ277">
            <v>4554</v>
          </cell>
          <cell r="AS277">
            <v>8709</v>
          </cell>
          <cell r="AT277">
            <v>98</v>
          </cell>
          <cell r="AV277">
            <v>6154</v>
          </cell>
          <cell r="AX277">
            <v>5065</v>
          </cell>
          <cell r="BA277">
            <v>2234</v>
          </cell>
          <cell r="DN277">
            <v>2226009</v>
          </cell>
          <cell r="DO277">
            <v>277</v>
          </cell>
        </row>
        <row r="278">
          <cell r="A278" t="str">
            <v>Port St. Lucie, FL Metro Area</v>
          </cell>
          <cell r="B278">
            <v>4473</v>
          </cell>
          <cell r="C278">
            <v>17850</v>
          </cell>
          <cell r="D278">
            <v>51547</v>
          </cell>
          <cell r="E278">
            <v>50838</v>
          </cell>
          <cell r="F278">
            <v>41397</v>
          </cell>
          <cell r="G278">
            <v>24089</v>
          </cell>
          <cell r="H278">
            <v>25412</v>
          </cell>
          <cell r="I278">
            <v>9719</v>
          </cell>
          <cell r="J278">
            <v>24871</v>
          </cell>
          <cell r="K278">
            <v>21855</v>
          </cell>
          <cell r="L278">
            <v>9634</v>
          </cell>
          <cell r="M278">
            <v>41346</v>
          </cell>
          <cell r="N278">
            <v>15858</v>
          </cell>
          <cell r="O278">
            <v>24192</v>
          </cell>
          <cell r="P278">
            <v>8452</v>
          </cell>
          <cell r="Q278">
            <v>7505</v>
          </cell>
          <cell r="R278">
            <v>5291</v>
          </cell>
          <cell r="S278">
            <v>3228</v>
          </cell>
          <cell r="T278">
            <v>27581</v>
          </cell>
          <cell r="U278">
            <v>3707</v>
          </cell>
          <cell r="Y278">
            <v>1086</v>
          </cell>
          <cell r="Z278">
            <v>4176</v>
          </cell>
          <cell r="DN278">
            <v>424107</v>
          </cell>
          <cell r="DO278">
            <v>278</v>
          </cell>
        </row>
        <row r="279">
          <cell r="A279" t="str">
            <v>Poughkeepsie-Newburgh-Middletown, NY Metro Area</v>
          </cell>
          <cell r="B279">
            <v>24806</v>
          </cell>
          <cell r="C279">
            <v>15571</v>
          </cell>
          <cell r="D279">
            <v>21907</v>
          </cell>
          <cell r="E279">
            <v>5218</v>
          </cell>
          <cell r="F279">
            <v>9083</v>
          </cell>
          <cell r="G279">
            <v>18747</v>
          </cell>
          <cell r="H279">
            <v>9895</v>
          </cell>
          <cell r="I279">
            <v>19949</v>
          </cell>
          <cell r="J279">
            <v>16178</v>
          </cell>
          <cell r="K279">
            <v>14465</v>
          </cell>
          <cell r="L279">
            <v>8295</v>
          </cell>
          <cell r="M279">
            <v>24559</v>
          </cell>
          <cell r="N279">
            <v>29769</v>
          </cell>
          <cell r="O279">
            <v>17504</v>
          </cell>
          <cell r="P279">
            <v>54011</v>
          </cell>
          <cell r="Q279">
            <v>21584</v>
          </cell>
          <cell r="R279">
            <v>18223</v>
          </cell>
          <cell r="S279">
            <v>12130</v>
          </cell>
          <cell r="T279">
            <v>15452</v>
          </cell>
          <cell r="U279">
            <v>30861</v>
          </cell>
          <cell r="V279">
            <v>19892</v>
          </cell>
          <cell r="W279">
            <v>10376</v>
          </cell>
          <cell r="X279">
            <v>10587</v>
          </cell>
          <cell r="Y279">
            <v>10998</v>
          </cell>
          <cell r="Z279">
            <v>5506</v>
          </cell>
          <cell r="AA279">
            <v>10143</v>
          </cell>
          <cell r="AB279">
            <v>17367</v>
          </cell>
          <cell r="AC279">
            <v>21959</v>
          </cell>
          <cell r="AD279">
            <v>14190</v>
          </cell>
          <cell r="AE279">
            <v>25072</v>
          </cell>
          <cell r="AF279">
            <v>18734</v>
          </cell>
          <cell r="AG279">
            <v>28190</v>
          </cell>
          <cell r="AH279">
            <v>13272</v>
          </cell>
          <cell r="AJ279">
            <v>16084</v>
          </cell>
          <cell r="AK279">
            <v>7266</v>
          </cell>
          <cell r="AM279">
            <v>3624</v>
          </cell>
          <cell r="AN279">
            <v>13132</v>
          </cell>
          <cell r="AO279">
            <v>9867</v>
          </cell>
          <cell r="AP279">
            <v>9106</v>
          </cell>
          <cell r="AR279">
            <v>7901</v>
          </cell>
          <cell r="AU279">
            <v>8828</v>
          </cell>
          <cell r="DN279">
            <v>670301</v>
          </cell>
          <cell r="DO279">
            <v>279</v>
          </cell>
        </row>
        <row r="280">
          <cell r="A280" t="str">
            <v>Prescott, AZ Metro Area</v>
          </cell>
          <cell r="B280">
            <v>8266</v>
          </cell>
          <cell r="C280">
            <v>11365</v>
          </cell>
          <cell r="D280">
            <v>12730</v>
          </cell>
          <cell r="E280">
            <v>5794</v>
          </cell>
          <cell r="F280">
            <v>4719</v>
          </cell>
          <cell r="G280">
            <v>5207</v>
          </cell>
          <cell r="J280">
            <v>12978</v>
          </cell>
          <cell r="K280">
            <v>16566</v>
          </cell>
          <cell r="L280">
            <v>18898</v>
          </cell>
          <cell r="P280">
            <v>5814</v>
          </cell>
          <cell r="Q280">
            <v>8054</v>
          </cell>
          <cell r="S280">
            <v>14010</v>
          </cell>
          <cell r="W280">
            <v>13827</v>
          </cell>
          <cell r="AC280">
            <v>3630</v>
          </cell>
          <cell r="AD280">
            <v>11703</v>
          </cell>
          <cell r="AE280">
            <v>16374</v>
          </cell>
          <cell r="AH280">
            <v>5779</v>
          </cell>
          <cell r="AI280">
            <v>5928</v>
          </cell>
          <cell r="AM280">
            <v>3918</v>
          </cell>
          <cell r="AN280">
            <v>5846</v>
          </cell>
          <cell r="AP280">
            <v>2138</v>
          </cell>
          <cell r="AQ280">
            <v>4512</v>
          </cell>
          <cell r="AS280">
            <v>7967</v>
          </cell>
          <cell r="AT280">
            <v>2661</v>
          </cell>
          <cell r="BB280">
            <v>2349</v>
          </cell>
          <cell r="DN280">
            <v>211033</v>
          </cell>
          <cell r="DO280">
            <v>280</v>
          </cell>
        </row>
        <row r="281">
          <cell r="A281" t="str">
            <v>Providence-New Bedford-Fall River, RI-MA Metro Area</v>
          </cell>
          <cell r="B281">
            <v>34765</v>
          </cell>
          <cell r="C281">
            <v>80451</v>
          </cell>
          <cell r="D281">
            <v>91656</v>
          </cell>
          <cell r="E281">
            <v>110889</v>
          </cell>
          <cell r="F281">
            <v>108722</v>
          </cell>
          <cell r="G281">
            <v>49142</v>
          </cell>
          <cell r="H281">
            <v>53179</v>
          </cell>
          <cell r="I281">
            <v>47138</v>
          </cell>
          <cell r="J281">
            <v>56373</v>
          </cell>
          <cell r="K281">
            <v>49957</v>
          </cell>
          <cell r="L281">
            <v>63889</v>
          </cell>
          <cell r="M281">
            <v>53094</v>
          </cell>
          <cell r="N281">
            <v>66625</v>
          </cell>
          <cell r="O281">
            <v>52497</v>
          </cell>
          <cell r="P281">
            <v>53486</v>
          </cell>
          <cell r="Q281">
            <v>72080</v>
          </cell>
          <cell r="R281">
            <v>65218</v>
          </cell>
          <cell r="S281">
            <v>69506</v>
          </cell>
          <cell r="T281">
            <v>26005</v>
          </cell>
          <cell r="U281">
            <v>23407</v>
          </cell>
          <cell r="V281">
            <v>50913</v>
          </cell>
          <cell r="W281">
            <v>11329</v>
          </cell>
          <cell r="X281">
            <v>26077</v>
          </cell>
          <cell r="Y281">
            <v>32467</v>
          </cell>
          <cell r="Z281">
            <v>24282</v>
          </cell>
          <cell r="AA281">
            <v>34616</v>
          </cell>
          <cell r="AB281">
            <v>29312</v>
          </cell>
          <cell r="AC281">
            <v>57942</v>
          </cell>
          <cell r="AD281">
            <v>34143</v>
          </cell>
          <cell r="AE281">
            <v>11904</v>
          </cell>
          <cell r="AF281">
            <v>24207</v>
          </cell>
          <cell r="AG281">
            <v>7078</v>
          </cell>
          <cell r="AH281">
            <v>4665</v>
          </cell>
          <cell r="AL281">
            <v>5893</v>
          </cell>
          <cell r="AM281">
            <v>11402</v>
          </cell>
          <cell r="AN281">
            <v>3914</v>
          </cell>
          <cell r="AO281">
            <v>1578</v>
          </cell>
          <cell r="AU281">
            <v>1051</v>
          </cell>
          <cell r="DN281">
            <v>1600852</v>
          </cell>
          <cell r="DO281">
            <v>281</v>
          </cell>
        </row>
        <row r="282">
          <cell r="A282" t="str">
            <v>Provo-Orem, UT Metro Area</v>
          </cell>
          <cell r="B282">
            <v>37163</v>
          </cell>
          <cell r="C282">
            <v>47112</v>
          </cell>
          <cell r="D282">
            <v>25248</v>
          </cell>
          <cell r="E282">
            <v>20223</v>
          </cell>
          <cell r="F282">
            <v>29765</v>
          </cell>
          <cell r="G282">
            <v>38374</v>
          </cell>
          <cell r="H282">
            <v>27386</v>
          </cell>
          <cell r="I282">
            <v>14105</v>
          </cell>
          <cell r="J282">
            <v>35390</v>
          </cell>
          <cell r="K282">
            <v>14874</v>
          </cell>
          <cell r="L282">
            <v>21840</v>
          </cell>
          <cell r="M282">
            <v>15000</v>
          </cell>
          <cell r="N282">
            <v>21788</v>
          </cell>
          <cell r="O282">
            <v>32966</v>
          </cell>
          <cell r="P282">
            <v>28208</v>
          </cell>
          <cell r="Q282">
            <v>32795</v>
          </cell>
          <cell r="R282">
            <v>17360</v>
          </cell>
          <cell r="S282">
            <v>17315</v>
          </cell>
          <cell r="T282">
            <v>29155</v>
          </cell>
          <cell r="U282">
            <v>4506</v>
          </cell>
          <cell r="V282">
            <v>3510</v>
          </cell>
          <cell r="W282">
            <v>2481</v>
          </cell>
          <cell r="Y282">
            <v>0</v>
          </cell>
          <cell r="AJ282">
            <v>4681</v>
          </cell>
          <cell r="AM282">
            <v>5565</v>
          </cell>
          <cell r="DN282">
            <v>526810</v>
          </cell>
          <cell r="DO282">
            <v>282</v>
          </cell>
        </row>
        <row r="283">
          <cell r="A283" t="str">
            <v>Pueblo, CO Metro Area</v>
          </cell>
          <cell r="B283">
            <v>5194</v>
          </cell>
          <cell r="C283">
            <v>24005</v>
          </cell>
          <cell r="D283">
            <v>47026</v>
          </cell>
          <cell r="E283">
            <v>30327</v>
          </cell>
          <cell r="F283">
            <v>4272</v>
          </cell>
          <cell r="G283">
            <v>3204</v>
          </cell>
          <cell r="H283">
            <v>1244</v>
          </cell>
          <cell r="I283">
            <v>10838</v>
          </cell>
          <cell r="J283">
            <v>11367</v>
          </cell>
          <cell r="K283">
            <v>3318</v>
          </cell>
          <cell r="L283">
            <v>2611</v>
          </cell>
          <cell r="M283">
            <v>3905</v>
          </cell>
          <cell r="N283">
            <v>7091</v>
          </cell>
          <cell r="U283">
            <v>0</v>
          </cell>
          <cell r="AA283">
            <v>4661</v>
          </cell>
          <cell r="DN283">
            <v>159063</v>
          </cell>
          <cell r="DO283">
            <v>283</v>
          </cell>
        </row>
        <row r="284">
          <cell r="A284" t="str">
            <v>Punta Gorda, FL Metro Area</v>
          </cell>
          <cell r="C284">
            <v>9186</v>
          </cell>
          <cell r="D284">
            <v>10134</v>
          </cell>
          <cell r="E284">
            <v>14818</v>
          </cell>
          <cell r="F284">
            <v>10449</v>
          </cell>
          <cell r="G284">
            <v>27328</v>
          </cell>
          <cell r="H284">
            <v>26842</v>
          </cell>
          <cell r="I284">
            <v>11069</v>
          </cell>
          <cell r="L284">
            <v>11493</v>
          </cell>
          <cell r="M284">
            <v>9795</v>
          </cell>
          <cell r="O284">
            <v>5880</v>
          </cell>
          <cell r="P284">
            <v>12464</v>
          </cell>
          <cell r="R284">
            <v>7794</v>
          </cell>
          <cell r="T284">
            <v>2726</v>
          </cell>
          <cell r="DN284">
            <v>159978</v>
          </cell>
          <cell r="DO284">
            <v>284</v>
          </cell>
        </row>
        <row r="285">
          <cell r="A285" t="str">
            <v>Racine, WI Metro Area</v>
          </cell>
          <cell r="B285">
            <v>19721</v>
          </cell>
          <cell r="C285">
            <v>29041</v>
          </cell>
          <cell r="D285">
            <v>30322</v>
          </cell>
          <cell r="E285">
            <v>26374</v>
          </cell>
          <cell r="F285">
            <v>12824</v>
          </cell>
          <cell r="G285">
            <v>11078</v>
          </cell>
          <cell r="H285">
            <v>3779</v>
          </cell>
          <cell r="I285">
            <v>6054</v>
          </cell>
          <cell r="L285">
            <v>2788</v>
          </cell>
          <cell r="N285">
            <v>3870</v>
          </cell>
          <cell r="O285">
            <v>5198</v>
          </cell>
          <cell r="Q285">
            <v>727</v>
          </cell>
          <cell r="S285">
            <v>3324</v>
          </cell>
          <cell r="T285">
            <v>4961</v>
          </cell>
          <cell r="V285">
            <v>2987</v>
          </cell>
          <cell r="W285">
            <v>4048</v>
          </cell>
          <cell r="X285">
            <v>11730</v>
          </cell>
          <cell r="Z285">
            <v>10855</v>
          </cell>
          <cell r="AA285">
            <v>5727</v>
          </cell>
          <cell r="DN285">
            <v>195408</v>
          </cell>
          <cell r="DO285">
            <v>285</v>
          </cell>
        </row>
        <row r="286">
          <cell r="A286" t="str">
            <v>Raleigh-Cary, NC Metro Area</v>
          </cell>
          <cell r="B286">
            <v>10664</v>
          </cell>
          <cell r="C286">
            <v>24297</v>
          </cell>
          <cell r="D286">
            <v>67631</v>
          </cell>
          <cell r="E286">
            <v>31188</v>
          </cell>
          <cell r="F286">
            <v>46507</v>
          </cell>
          <cell r="G286">
            <v>84621</v>
          </cell>
          <cell r="H286">
            <v>73418</v>
          </cell>
          <cell r="I286">
            <v>62647</v>
          </cell>
          <cell r="J286">
            <v>67309</v>
          </cell>
          <cell r="K286">
            <v>72621</v>
          </cell>
          <cell r="L286">
            <v>55668</v>
          </cell>
          <cell r="M286">
            <v>59831</v>
          </cell>
          <cell r="N286">
            <v>87625</v>
          </cell>
          <cell r="O286">
            <v>60975</v>
          </cell>
          <cell r="P286">
            <v>30331</v>
          </cell>
          <cell r="Q286">
            <v>53795</v>
          </cell>
          <cell r="R286">
            <v>65706</v>
          </cell>
          <cell r="S286">
            <v>5648</v>
          </cell>
          <cell r="T286">
            <v>6564</v>
          </cell>
          <cell r="U286">
            <v>18819</v>
          </cell>
          <cell r="V286">
            <v>32675</v>
          </cell>
          <cell r="W286">
            <v>13536</v>
          </cell>
          <cell r="Y286">
            <v>6342</v>
          </cell>
          <cell r="Z286">
            <v>13593</v>
          </cell>
          <cell r="AA286">
            <v>14264</v>
          </cell>
          <cell r="AB286">
            <v>3901</v>
          </cell>
          <cell r="AC286">
            <v>12450</v>
          </cell>
          <cell r="AD286">
            <v>5115</v>
          </cell>
          <cell r="AE286">
            <v>9116</v>
          </cell>
          <cell r="AF286">
            <v>12917</v>
          </cell>
          <cell r="AI286">
            <v>6351</v>
          </cell>
          <cell r="AJ286">
            <v>5991</v>
          </cell>
          <cell r="AK286">
            <v>4663</v>
          </cell>
          <cell r="AM286">
            <v>3711</v>
          </cell>
          <cell r="DN286">
            <v>1130490</v>
          </cell>
          <cell r="DO286">
            <v>286</v>
          </cell>
        </row>
        <row r="287">
          <cell r="A287" t="str">
            <v>Rapid City, SD Metro Area</v>
          </cell>
          <cell r="B287">
            <v>9210</v>
          </cell>
          <cell r="C287">
            <v>20949</v>
          </cell>
          <cell r="D287">
            <v>17849</v>
          </cell>
          <cell r="E287">
            <v>13076</v>
          </cell>
          <cell r="F287">
            <v>11632</v>
          </cell>
          <cell r="G287">
            <v>14401</v>
          </cell>
          <cell r="J287">
            <v>1936</v>
          </cell>
          <cell r="K287">
            <v>7475</v>
          </cell>
          <cell r="N287">
            <v>2263</v>
          </cell>
          <cell r="O287">
            <v>5519</v>
          </cell>
          <cell r="R287">
            <v>4104</v>
          </cell>
          <cell r="U287">
            <v>6720</v>
          </cell>
          <cell r="AB287">
            <v>6868</v>
          </cell>
          <cell r="AE287">
            <v>4380</v>
          </cell>
          <cell r="DN287">
            <v>126382</v>
          </cell>
          <cell r="DO287">
            <v>287</v>
          </cell>
        </row>
        <row r="288">
          <cell r="A288" t="str">
            <v>Reading, PA Metro Area</v>
          </cell>
          <cell r="B288">
            <v>49909</v>
          </cell>
          <cell r="C288">
            <v>43452</v>
          </cell>
          <cell r="D288">
            <v>19270</v>
          </cell>
          <cell r="E288">
            <v>46620</v>
          </cell>
          <cell r="F288">
            <v>35421</v>
          </cell>
          <cell r="G288">
            <v>26374</v>
          </cell>
          <cell r="H288">
            <v>9843</v>
          </cell>
          <cell r="I288">
            <v>37730</v>
          </cell>
          <cell r="J288">
            <v>9199</v>
          </cell>
          <cell r="K288">
            <v>11975</v>
          </cell>
          <cell r="L288">
            <v>23413</v>
          </cell>
          <cell r="M288">
            <v>7192</v>
          </cell>
          <cell r="N288">
            <v>17173</v>
          </cell>
          <cell r="O288">
            <v>3060</v>
          </cell>
          <cell r="P288">
            <v>23805</v>
          </cell>
          <cell r="Q288">
            <v>8344</v>
          </cell>
          <cell r="R288">
            <v>21888</v>
          </cell>
          <cell r="S288">
            <v>7748</v>
          </cell>
          <cell r="U288">
            <v>2997</v>
          </cell>
          <cell r="V288">
            <v>6029</v>
          </cell>
          <cell r="DN288">
            <v>411442</v>
          </cell>
          <cell r="DO288">
            <v>288</v>
          </cell>
        </row>
        <row r="289">
          <cell r="A289" t="str">
            <v>Redding, CA Metro Area</v>
          </cell>
          <cell r="B289">
            <v>3659</v>
          </cell>
          <cell r="C289">
            <v>23203</v>
          </cell>
          <cell r="D289">
            <v>39076</v>
          </cell>
          <cell r="E289">
            <v>24555</v>
          </cell>
          <cell r="F289">
            <v>1394</v>
          </cell>
          <cell r="G289">
            <v>5545</v>
          </cell>
          <cell r="H289">
            <v>13779</v>
          </cell>
          <cell r="I289">
            <v>18149</v>
          </cell>
          <cell r="J289">
            <v>8605</v>
          </cell>
          <cell r="K289">
            <v>9487</v>
          </cell>
          <cell r="N289">
            <v>3913</v>
          </cell>
          <cell r="O289">
            <v>5379</v>
          </cell>
          <cell r="T289">
            <v>2198</v>
          </cell>
          <cell r="U289">
            <v>5195</v>
          </cell>
          <cell r="AA289">
            <v>1477</v>
          </cell>
          <cell r="AB289">
            <v>4134</v>
          </cell>
          <cell r="AT289">
            <v>4392</v>
          </cell>
          <cell r="BF289">
            <v>3083</v>
          </cell>
          <cell r="DN289">
            <v>177223</v>
          </cell>
          <cell r="DO289">
            <v>289</v>
          </cell>
        </row>
        <row r="290">
          <cell r="A290" t="str">
            <v>Reno-Sparks, NV Metro Area</v>
          </cell>
          <cell r="B290">
            <v>21973</v>
          </cell>
          <cell r="C290">
            <v>44940</v>
          </cell>
          <cell r="D290">
            <v>54968</v>
          </cell>
          <cell r="E290">
            <v>53681</v>
          </cell>
          <cell r="F290">
            <v>53821</v>
          </cell>
          <cell r="G290">
            <v>30633</v>
          </cell>
          <cell r="H290">
            <v>32024</v>
          </cell>
          <cell r="I290">
            <v>30277</v>
          </cell>
          <cell r="J290">
            <v>34753</v>
          </cell>
          <cell r="K290">
            <v>10016</v>
          </cell>
          <cell r="L290">
            <v>20789</v>
          </cell>
          <cell r="M290">
            <v>1424</v>
          </cell>
          <cell r="O290">
            <v>13473</v>
          </cell>
          <cell r="P290">
            <v>5173</v>
          </cell>
          <cell r="Q290">
            <v>2522</v>
          </cell>
          <cell r="T290">
            <v>8</v>
          </cell>
          <cell r="U290">
            <v>2546</v>
          </cell>
          <cell r="V290">
            <v>6541</v>
          </cell>
          <cell r="AA290">
            <v>4205</v>
          </cell>
          <cell r="AD290">
            <v>1650</v>
          </cell>
          <cell r="DN290">
            <v>425417</v>
          </cell>
          <cell r="DO290">
            <v>290</v>
          </cell>
        </row>
        <row r="291">
          <cell r="A291" t="str">
            <v>Richmond, VA Metro Area</v>
          </cell>
          <cell r="B291">
            <v>17945</v>
          </cell>
          <cell r="C291">
            <v>41320</v>
          </cell>
          <cell r="D291">
            <v>59169</v>
          </cell>
          <cell r="E291">
            <v>54406</v>
          </cell>
          <cell r="F291">
            <v>48092</v>
          </cell>
          <cell r="G291">
            <v>70152</v>
          </cell>
          <cell r="H291">
            <v>58873</v>
          </cell>
          <cell r="I291">
            <v>65716</v>
          </cell>
          <cell r="J291">
            <v>77183</v>
          </cell>
          <cell r="K291">
            <v>67554</v>
          </cell>
          <cell r="L291">
            <v>59425</v>
          </cell>
          <cell r="M291">
            <v>70813</v>
          </cell>
          <cell r="N291">
            <v>49312</v>
          </cell>
          <cell r="O291">
            <v>43028</v>
          </cell>
          <cell r="P291">
            <v>51863</v>
          </cell>
          <cell r="Q291">
            <v>34745</v>
          </cell>
          <cell r="R291">
            <v>21991</v>
          </cell>
          <cell r="S291">
            <v>10924</v>
          </cell>
          <cell r="T291">
            <v>44153</v>
          </cell>
          <cell r="U291">
            <v>26418</v>
          </cell>
          <cell r="V291">
            <v>18495</v>
          </cell>
          <cell r="W291">
            <v>26615</v>
          </cell>
          <cell r="X291">
            <v>25687</v>
          </cell>
          <cell r="Y291">
            <v>26713</v>
          </cell>
          <cell r="Z291">
            <v>4289</v>
          </cell>
          <cell r="AA291">
            <v>19520</v>
          </cell>
          <cell r="AB291">
            <v>16364</v>
          </cell>
          <cell r="AC291">
            <v>4757</v>
          </cell>
          <cell r="AD291">
            <v>8318</v>
          </cell>
          <cell r="AE291">
            <v>10221</v>
          </cell>
          <cell r="AF291">
            <v>5556</v>
          </cell>
          <cell r="AG291">
            <v>11761</v>
          </cell>
          <cell r="AH291">
            <v>25511</v>
          </cell>
          <cell r="AJ291">
            <v>13498</v>
          </cell>
          <cell r="AL291">
            <v>8122</v>
          </cell>
          <cell r="AM291">
            <v>6162</v>
          </cell>
          <cell r="AN291">
            <v>8784</v>
          </cell>
          <cell r="AO291">
            <v>2861</v>
          </cell>
          <cell r="AP291">
            <v>3680</v>
          </cell>
          <cell r="AQ291">
            <v>0</v>
          </cell>
          <cell r="AR291">
            <v>14164</v>
          </cell>
          <cell r="AT291">
            <v>2911</v>
          </cell>
          <cell r="AV291">
            <v>9093</v>
          </cell>
          <cell r="BA291">
            <v>3536</v>
          </cell>
          <cell r="BC291">
            <v>8551</v>
          </cell>
          <cell r="DN291">
            <v>1258251</v>
          </cell>
          <cell r="DO291">
            <v>291</v>
          </cell>
        </row>
        <row r="292">
          <cell r="A292" t="str">
            <v>Riverside-San Bernardino-Ontario, CA Metro Area</v>
          </cell>
          <cell r="B292">
            <v>19869</v>
          </cell>
          <cell r="C292">
            <v>38510</v>
          </cell>
          <cell r="D292">
            <v>64083</v>
          </cell>
          <cell r="E292">
            <v>54868</v>
          </cell>
          <cell r="F292">
            <v>55158</v>
          </cell>
          <cell r="G292">
            <v>72876</v>
          </cell>
          <cell r="H292">
            <v>117013</v>
          </cell>
          <cell r="I292">
            <v>175619</v>
          </cell>
          <cell r="J292">
            <v>197233</v>
          </cell>
          <cell r="K292">
            <v>163709</v>
          </cell>
          <cell r="L292">
            <v>160088</v>
          </cell>
          <cell r="M292">
            <v>152428</v>
          </cell>
          <cell r="N292">
            <v>187861</v>
          </cell>
          <cell r="O292">
            <v>171628</v>
          </cell>
          <cell r="P292">
            <v>193482</v>
          </cell>
          <cell r="Q292">
            <v>157572</v>
          </cell>
          <cell r="R292">
            <v>142622</v>
          </cell>
          <cell r="S292">
            <v>86939</v>
          </cell>
          <cell r="T292">
            <v>136726</v>
          </cell>
          <cell r="U292">
            <v>110833</v>
          </cell>
          <cell r="V292">
            <v>77999</v>
          </cell>
          <cell r="W292">
            <v>95453</v>
          </cell>
          <cell r="X292">
            <v>32414</v>
          </cell>
          <cell r="Y292">
            <v>51656</v>
          </cell>
          <cell r="Z292">
            <v>27398</v>
          </cell>
          <cell r="AA292">
            <v>45688</v>
          </cell>
          <cell r="AB292">
            <v>43377</v>
          </cell>
          <cell r="AC292">
            <v>60438</v>
          </cell>
          <cell r="AD292">
            <v>63036</v>
          </cell>
          <cell r="AE292">
            <v>98828</v>
          </cell>
          <cell r="AF292">
            <v>55296</v>
          </cell>
          <cell r="AG292">
            <v>74704</v>
          </cell>
          <cell r="AH292">
            <v>30361</v>
          </cell>
          <cell r="AI292">
            <v>51277</v>
          </cell>
          <cell r="AJ292">
            <v>38157</v>
          </cell>
          <cell r="AK292">
            <v>91444</v>
          </cell>
          <cell r="AL292">
            <v>46367</v>
          </cell>
          <cell r="AM292">
            <v>63445</v>
          </cell>
          <cell r="AN292">
            <v>57472</v>
          </cell>
          <cell r="AO292">
            <v>35079</v>
          </cell>
          <cell r="AP292">
            <v>21387</v>
          </cell>
          <cell r="AQ292">
            <v>9083</v>
          </cell>
          <cell r="AS292">
            <v>5110</v>
          </cell>
          <cell r="AV292">
            <v>9469</v>
          </cell>
          <cell r="AW292">
            <v>4818</v>
          </cell>
          <cell r="AX292">
            <v>10480</v>
          </cell>
          <cell r="AY292">
            <v>27243</v>
          </cell>
          <cell r="AZ292">
            <v>26970</v>
          </cell>
          <cell r="BA292">
            <v>15613</v>
          </cell>
          <cell r="BB292">
            <v>14265</v>
          </cell>
          <cell r="BC292">
            <v>33481</v>
          </cell>
          <cell r="BD292">
            <v>17981</v>
          </cell>
          <cell r="BE292">
            <v>11694</v>
          </cell>
          <cell r="BF292">
            <v>22698</v>
          </cell>
          <cell r="BG292">
            <v>13793</v>
          </cell>
          <cell r="BH292">
            <v>8396</v>
          </cell>
          <cell r="BI292">
            <v>21861</v>
          </cell>
          <cell r="BJ292">
            <v>15426</v>
          </cell>
          <cell r="BK292">
            <v>10720</v>
          </cell>
          <cell r="BL292">
            <v>7904</v>
          </cell>
          <cell r="BM292">
            <v>16017</v>
          </cell>
          <cell r="BN292">
            <v>26873</v>
          </cell>
          <cell r="BO292">
            <v>35695</v>
          </cell>
          <cell r="BP292">
            <v>19900</v>
          </cell>
          <cell r="BQ292">
            <v>26975</v>
          </cell>
          <cell r="BR292">
            <v>33218</v>
          </cell>
          <cell r="BS292">
            <v>18266</v>
          </cell>
          <cell r="BT292">
            <v>8099</v>
          </cell>
          <cell r="BU292">
            <v>20156</v>
          </cell>
          <cell r="BV292">
            <v>10529</v>
          </cell>
          <cell r="BW292">
            <v>5880</v>
          </cell>
          <cell r="BX292">
            <v>5682</v>
          </cell>
          <cell r="BZ292">
            <v>18245</v>
          </cell>
          <cell r="CA292">
            <v>8442</v>
          </cell>
          <cell r="CE292">
            <v>3018</v>
          </cell>
          <cell r="CF292">
            <v>13694</v>
          </cell>
          <cell r="CJ292">
            <v>3846</v>
          </cell>
          <cell r="CT292">
            <v>8850</v>
          </cell>
          <cell r="CY292">
            <v>2174</v>
          </cell>
          <cell r="DA292">
            <v>2043</v>
          </cell>
          <cell r="DB292">
            <v>7634</v>
          </cell>
          <cell r="DC292">
            <v>1838</v>
          </cell>
          <cell r="DD292">
            <v>5057</v>
          </cell>
          <cell r="DE292">
            <v>6401</v>
          </cell>
          <cell r="DF292">
            <v>1749</v>
          </cell>
          <cell r="DG292">
            <v>166</v>
          </cell>
          <cell r="DH292">
            <v>3798</v>
          </cell>
          <cell r="DI292">
            <v>1688</v>
          </cell>
          <cell r="DJ292">
            <v>1520</v>
          </cell>
          <cell r="DN292">
            <v>4224851</v>
          </cell>
          <cell r="DO292">
            <v>292</v>
          </cell>
        </row>
        <row r="293">
          <cell r="A293" t="str">
            <v>Roanoke, VA Metro Area</v>
          </cell>
          <cell r="B293">
            <v>10250</v>
          </cell>
          <cell r="C293">
            <v>23191</v>
          </cell>
          <cell r="D293">
            <v>45547</v>
          </cell>
          <cell r="E293">
            <v>31809</v>
          </cell>
          <cell r="F293">
            <v>26930</v>
          </cell>
          <cell r="G293">
            <v>42978</v>
          </cell>
          <cell r="H293">
            <v>9575</v>
          </cell>
          <cell r="I293">
            <v>6344</v>
          </cell>
          <cell r="J293">
            <v>15034</v>
          </cell>
          <cell r="K293">
            <v>11384</v>
          </cell>
          <cell r="L293">
            <v>3802</v>
          </cell>
          <cell r="M293">
            <v>13694</v>
          </cell>
          <cell r="N293">
            <v>2201</v>
          </cell>
          <cell r="O293">
            <v>5448</v>
          </cell>
          <cell r="Q293">
            <v>8135</v>
          </cell>
          <cell r="R293">
            <v>2954</v>
          </cell>
          <cell r="T293">
            <v>10719</v>
          </cell>
          <cell r="U293">
            <v>11760</v>
          </cell>
          <cell r="W293">
            <v>4294</v>
          </cell>
          <cell r="X293">
            <v>2508</v>
          </cell>
          <cell r="AA293">
            <v>5914</v>
          </cell>
          <cell r="AB293">
            <v>3774</v>
          </cell>
          <cell r="AC293">
            <v>10462</v>
          </cell>
          <cell r="DN293">
            <v>308707</v>
          </cell>
          <cell r="DO293">
            <v>293</v>
          </cell>
        </row>
        <row r="294">
          <cell r="A294" t="str">
            <v>Rochester, MN Metro Area</v>
          </cell>
          <cell r="B294">
            <v>15449</v>
          </cell>
          <cell r="C294">
            <v>27382</v>
          </cell>
          <cell r="D294">
            <v>28080</v>
          </cell>
          <cell r="E294">
            <v>21811</v>
          </cell>
          <cell r="F294">
            <v>3539</v>
          </cell>
          <cell r="G294">
            <v>19594</v>
          </cell>
          <cell r="I294">
            <v>3804</v>
          </cell>
          <cell r="K294">
            <v>11839</v>
          </cell>
          <cell r="M294">
            <v>6105</v>
          </cell>
          <cell r="O294">
            <v>6645</v>
          </cell>
          <cell r="P294">
            <v>5654</v>
          </cell>
          <cell r="Q294">
            <v>4491</v>
          </cell>
          <cell r="S294">
            <v>6894</v>
          </cell>
          <cell r="T294">
            <v>4532</v>
          </cell>
          <cell r="U294">
            <v>7593</v>
          </cell>
          <cell r="AA294">
            <v>2349</v>
          </cell>
          <cell r="AD294">
            <v>3397</v>
          </cell>
          <cell r="AF294">
            <v>4055</v>
          </cell>
          <cell r="AH294">
            <v>2798</v>
          </cell>
          <cell r="DN294">
            <v>186011</v>
          </cell>
          <cell r="DO294">
            <v>294</v>
          </cell>
        </row>
        <row r="295">
          <cell r="A295" t="str">
            <v>Rochester, NY Metro Area</v>
          </cell>
          <cell r="B295">
            <v>20288</v>
          </cell>
          <cell r="C295">
            <v>79364</v>
          </cell>
          <cell r="D295">
            <v>95018</v>
          </cell>
          <cell r="E295">
            <v>56328</v>
          </cell>
          <cell r="F295">
            <v>56939</v>
          </cell>
          <cell r="G295">
            <v>72675</v>
          </cell>
          <cell r="H295">
            <v>78400</v>
          </cell>
          <cell r="I295">
            <v>56348</v>
          </cell>
          <cell r="J295">
            <v>52393</v>
          </cell>
          <cell r="K295">
            <v>53997</v>
          </cell>
          <cell r="L295">
            <v>36188</v>
          </cell>
          <cell r="M295">
            <v>26828</v>
          </cell>
          <cell r="N295">
            <v>17664</v>
          </cell>
          <cell r="O295">
            <v>17149</v>
          </cell>
          <cell r="P295">
            <v>6798</v>
          </cell>
          <cell r="Q295">
            <v>15969</v>
          </cell>
          <cell r="R295">
            <v>27675</v>
          </cell>
          <cell r="S295">
            <v>27866</v>
          </cell>
          <cell r="T295">
            <v>3385</v>
          </cell>
          <cell r="U295">
            <v>15950</v>
          </cell>
          <cell r="V295">
            <v>3717</v>
          </cell>
          <cell r="W295">
            <v>19535</v>
          </cell>
          <cell r="X295">
            <v>15235</v>
          </cell>
          <cell r="Y295">
            <v>7809</v>
          </cell>
          <cell r="Z295">
            <v>15329</v>
          </cell>
          <cell r="AA295">
            <v>9848</v>
          </cell>
          <cell r="AB295">
            <v>9255</v>
          </cell>
          <cell r="AC295">
            <v>26523</v>
          </cell>
          <cell r="AD295">
            <v>15713</v>
          </cell>
          <cell r="AE295">
            <v>6200</v>
          </cell>
          <cell r="AF295">
            <v>10712</v>
          </cell>
          <cell r="AG295">
            <v>11319</v>
          </cell>
          <cell r="AH295">
            <v>12527</v>
          </cell>
          <cell r="AI295">
            <v>4912</v>
          </cell>
          <cell r="AJ295">
            <v>2721</v>
          </cell>
          <cell r="AK295">
            <v>1008</v>
          </cell>
          <cell r="AM295">
            <v>20763</v>
          </cell>
          <cell r="AN295">
            <v>5179</v>
          </cell>
          <cell r="AO295">
            <v>25677</v>
          </cell>
          <cell r="AQ295">
            <v>4718</v>
          </cell>
          <cell r="AR295">
            <v>4453</v>
          </cell>
          <cell r="AS295">
            <v>3948</v>
          </cell>
          <cell r="DN295">
            <v>1054323</v>
          </cell>
          <cell r="DO295">
            <v>295</v>
          </cell>
        </row>
        <row r="296">
          <cell r="A296" t="str">
            <v>Rockford, IL Metro Area</v>
          </cell>
          <cell r="B296">
            <v>14099</v>
          </cell>
          <cell r="C296">
            <v>41749</v>
          </cell>
          <cell r="D296">
            <v>43242</v>
          </cell>
          <cell r="E296">
            <v>47372</v>
          </cell>
          <cell r="F296">
            <v>21178</v>
          </cell>
          <cell r="G296">
            <v>29100</v>
          </cell>
          <cell r="H296">
            <v>29719</v>
          </cell>
          <cell r="I296">
            <v>12459</v>
          </cell>
          <cell r="J296">
            <v>7269</v>
          </cell>
          <cell r="L296">
            <v>14973</v>
          </cell>
          <cell r="M296">
            <v>9733</v>
          </cell>
          <cell r="N296">
            <v>32447</v>
          </cell>
          <cell r="O296">
            <v>25935</v>
          </cell>
          <cell r="P296">
            <v>9015</v>
          </cell>
          <cell r="Q296">
            <v>1980</v>
          </cell>
          <cell r="R296">
            <v>5302</v>
          </cell>
          <cell r="T296">
            <v>3859</v>
          </cell>
          <cell r="DN296">
            <v>349431</v>
          </cell>
          <cell r="DO296">
            <v>296</v>
          </cell>
        </row>
        <row r="297">
          <cell r="A297" t="str">
            <v>Rocky Mount, NC Metro Area</v>
          </cell>
          <cell r="B297">
            <v>3356</v>
          </cell>
          <cell r="C297">
            <v>28116</v>
          </cell>
          <cell r="D297">
            <v>7060</v>
          </cell>
          <cell r="E297">
            <v>14402</v>
          </cell>
          <cell r="F297">
            <v>3107</v>
          </cell>
          <cell r="G297">
            <v>3525</v>
          </cell>
          <cell r="H297">
            <v>16308</v>
          </cell>
          <cell r="J297">
            <v>9938</v>
          </cell>
          <cell r="K297">
            <v>7994</v>
          </cell>
          <cell r="L297">
            <v>4860</v>
          </cell>
          <cell r="N297">
            <v>2201</v>
          </cell>
          <cell r="O297">
            <v>17438</v>
          </cell>
          <cell r="P297">
            <v>5502</v>
          </cell>
          <cell r="Q297">
            <v>3409</v>
          </cell>
          <cell r="R297">
            <v>5836</v>
          </cell>
          <cell r="S297">
            <v>4381</v>
          </cell>
          <cell r="T297">
            <v>3716</v>
          </cell>
          <cell r="V297">
            <v>4304</v>
          </cell>
          <cell r="Y297">
            <v>6939</v>
          </cell>
          <cell r="DN297">
            <v>152392</v>
          </cell>
          <cell r="DO297">
            <v>297</v>
          </cell>
        </row>
        <row r="298">
          <cell r="A298" t="str">
            <v>Rome, GA Metro Area</v>
          </cell>
          <cell r="B298">
            <v>2782</v>
          </cell>
          <cell r="C298">
            <v>10818</v>
          </cell>
          <cell r="D298">
            <v>17355</v>
          </cell>
          <cell r="F298">
            <v>21186</v>
          </cell>
          <cell r="G298">
            <v>17941</v>
          </cell>
          <cell r="H298">
            <v>6350</v>
          </cell>
          <cell r="J298">
            <v>11050</v>
          </cell>
          <cell r="L298">
            <v>4035</v>
          </cell>
          <cell r="N298">
            <v>4800</v>
          </cell>
          <cell r="DN298">
            <v>96317</v>
          </cell>
          <cell r="DO298">
            <v>298</v>
          </cell>
        </row>
        <row r="299">
          <cell r="A299" t="str">
            <v>Sacramento--Arden-Arcade--Roseville, CA Metro Area</v>
          </cell>
          <cell r="B299">
            <v>18082</v>
          </cell>
          <cell r="C299">
            <v>30628</v>
          </cell>
          <cell r="D299">
            <v>93643</v>
          </cell>
          <cell r="E299">
            <v>74442</v>
          </cell>
          <cell r="F299">
            <v>91809</v>
          </cell>
          <cell r="G299">
            <v>136261</v>
          </cell>
          <cell r="H299">
            <v>104286</v>
          </cell>
          <cell r="I299">
            <v>93877</v>
          </cell>
          <cell r="J299">
            <v>81659</v>
          </cell>
          <cell r="K299">
            <v>100675</v>
          </cell>
          <cell r="L299">
            <v>122275</v>
          </cell>
          <cell r="M299">
            <v>137860</v>
          </cell>
          <cell r="N299">
            <v>98405</v>
          </cell>
          <cell r="O299">
            <v>90265</v>
          </cell>
          <cell r="P299">
            <v>105196</v>
          </cell>
          <cell r="Q299">
            <v>90343</v>
          </cell>
          <cell r="R299">
            <v>69076</v>
          </cell>
          <cell r="S299">
            <v>57917</v>
          </cell>
          <cell r="T299">
            <v>43296</v>
          </cell>
          <cell r="U299">
            <v>58493</v>
          </cell>
          <cell r="V299">
            <v>31965</v>
          </cell>
          <cell r="W299">
            <v>30875</v>
          </cell>
          <cell r="X299">
            <v>31603</v>
          </cell>
          <cell r="Y299">
            <v>48822</v>
          </cell>
          <cell r="Z299">
            <v>47712</v>
          </cell>
          <cell r="AA299">
            <v>13896</v>
          </cell>
          <cell r="AB299">
            <v>8106</v>
          </cell>
          <cell r="AC299">
            <v>19627</v>
          </cell>
          <cell r="AD299">
            <v>13440</v>
          </cell>
          <cell r="AE299">
            <v>7241</v>
          </cell>
          <cell r="AF299">
            <v>9773</v>
          </cell>
          <cell r="AG299">
            <v>15417</v>
          </cell>
          <cell r="AH299">
            <v>12230</v>
          </cell>
          <cell r="AI299">
            <v>21981</v>
          </cell>
          <cell r="AJ299">
            <v>2810</v>
          </cell>
          <cell r="AK299">
            <v>4522</v>
          </cell>
          <cell r="AL299">
            <v>6031</v>
          </cell>
          <cell r="AM299">
            <v>11398</v>
          </cell>
          <cell r="AN299">
            <v>4454</v>
          </cell>
          <cell r="AO299">
            <v>17436</v>
          </cell>
          <cell r="AP299">
            <v>3060</v>
          </cell>
          <cell r="AS299">
            <v>2407</v>
          </cell>
          <cell r="AT299">
            <v>25497</v>
          </cell>
          <cell r="AY299">
            <v>12671</v>
          </cell>
          <cell r="BC299">
            <v>2934</v>
          </cell>
          <cell r="BR299">
            <v>133</v>
          </cell>
          <cell r="CC299">
            <v>2445</v>
          </cell>
          <cell r="CD299">
            <v>1976</v>
          </cell>
          <cell r="CE299">
            <v>2641</v>
          </cell>
          <cell r="CF299">
            <v>3613</v>
          </cell>
          <cell r="CG299">
            <v>7221</v>
          </cell>
          <cell r="CH299">
            <v>5381</v>
          </cell>
          <cell r="CI299">
            <v>4155</v>
          </cell>
          <cell r="CJ299">
            <v>4773</v>
          </cell>
          <cell r="CK299">
            <v>7164</v>
          </cell>
          <cell r="CN299">
            <v>1719</v>
          </cell>
          <cell r="CO299">
            <v>3510</v>
          </cell>
          <cell r="DN299">
            <v>2149127</v>
          </cell>
          <cell r="DO299">
            <v>299</v>
          </cell>
        </row>
        <row r="300">
          <cell r="A300" t="str">
            <v>Saginaw-Saginaw Township North, MI Metro Area</v>
          </cell>
          <cell r="B300">
            <v>8299</v>
          </cell>
          <cell r="C300">
            <v>31705</v>
          </cell>
          <cell r="D300">
            <v>28738</v>
          </cell>
          <cell r="E300">
            <v>18762</v>
          </cell>
          <cell r="F300">
            <v>20671</v>
          </cell>
          <cell r="G300">
            <v>15062</v>
          </cell>
          <cell r="H300">
            <v>6719</v>
          </cell>
          <cell r="I300">
            <v>2334</v>
          </cell>
          <cell r="J300">
            <v>8315</v>
          </cell>
          <cell r="K300">
            <v>1960</v>
          </cell>
          <cell r="L300">
            <v>2329</v>
          </cell>
          <cell r="M300">
            <v>21149</v>
          </cell>
          <cell r="O300">
            <v>3558</v>
          </cell>
          <cell r="P300">
            <v>15005</v>
          </cell>
          <cell r="R300">
            <v>3125</v>
          </cell>
          <cell r="S300">
            <v>2012</v>
          </cell>
          <cell r="T300">
            <v>4558</v>
          </cell>
          <cell r="U300">
            <v>1667</v>
          </cell>
          <cell r="X300">
            <v>4201</v>
          </cell>
          <cell r="DN300">
            <v>200169</v>
          </cell>
          <cell r="DO300">
            <v>300</v>
          </cell>
        </row>
        <row r="301">
          <cell r="A301" t="str">
            <v>St. Cloud, MN Metro Area</v>
          </cell>
          <cell r="B301">
            <v>13718</v>
          </cell>
          <cell r="C301">
            <v>28850</v>
          </cell>
          <cell r="D301">
            <v>10405</v>
          </cell>
          <cell r="E301">
            <v>24118</v>
          </cell>
          <cell r="F301">
            <v>10906</v>
          </cell>
          <cell r="G301">
            <v>3022</v>
          </cell>
          <cell r="H301">
            <v>11563</v>
          </cell>
          <cell r="I301">
            <v>7846</v>
          </cell>
          <cell r="L301">
            <v>15101</v>
          </cell>
          <cell r="O301">
            <v>2773</v>
          </cell>
          <cell r="P301">
            <v>12430</v>
          </cell>
          <cell r="Q301">
            <v>12586</v>
          </cell>
          <cell r="V301">
            <v>6992</v>
          </cell>
          <cell r="W301">
            <v>7042</v>
          </cell>
          <cell r="AE301">
            <v>3691</v>
          </cell>
          <cell r="AF301">
            <v>3901</v>
          </cell>
          <cell r="AI301">
            <v>4054</v>
          </cell>
          <cell r="AP301">
            <v>10095</v>
          </cell>
          <cell r="DN301">
            <v>189093</v>
          </cell>
          <cell r="DO301">
            <v>301</v>
          </cell>
        </row>
        <row r="302">
          <cell r="A302" t="str">
            <v>St. George, UT Metro Area</v>
          </cell>
          <cell r="B302">
            <v>7828</v>
          </cell>
          <cell r="C302">
            <v>12836</v>
          </cell>
          <cell r="D302">
            <v>27753</v>
          </cell>
          <cell r="E302">
            <v>13213</v>
          </cell>
          <cell r="F302">
            <v>40332</v>
          </cell>
          <cell r="H302">
            <v>6218</v>
          </cell>
          <cell r="P302">
            <v>10113</v>
          </cell>
          <cell r="R302">
            <v>3796</v>
          </cell>
          <cell r="T302">
            <v>4113</v>
          </cell>
          <cell r="Z302">
            <v>8839</v>
          </cell>
          <cell r="AD302">
            <v>3074</v>
          </cell>
          <cell r="DN302">
            <v>138115</v>
          </cell>
          <cell r="DO302">
            <v>302</v>
          </cell>
        </row>
        <row r="303">
          <cell r="A303" t="str">
            <v>St. Joseph, MO-KS Metro Area</v>
          </cell>
          <cell r="B303">
            <v>9442</v>
          </cell>
          <cell r="C303">
            <v>28080</v>
          </cell>
          <cell r="D303">
            <v>8617</v>
          </cell>
          <cell r="E303">
            <v>27407</v>
          </cell>
          <cell r="F303">
            <v>7673</v>
          </cell>
          <cell r="G303">
            <v>5439</v>
          </cell>
          <cell r="K303">
            <v>8181</v>
          </cell>
          <cell r="L303">
            <v>3250</v>
          </cell>
          <cell r="M303">
            <v>6738</v>
          </cell>
          <cell r="O303">
            <v>2188</v>
          </cell>
          <cell r="P303">
            <v>2063</v>
          </cell>
          <cell r="R303">
            <v>3051</v>
          </cell>
          <cell r="T303">
            <v>3992</v>
          </cell>
          <cell r="X303">
            <v>2308</v>
          </cell>
          <cell r="AG303">
            <v>8900</v>
          </cell>
          <cell r="DN303">
            <v>127329</v>
          </cell>
          <cell r="DO303">
            <v>303</v>
          </cell>
        </row>
        <row r="304">
          <cell r="A304" t="str">
            <v>St. Louis, MO-IL Metro Area</v>
          </cell>
          <cell r="B304">
            <v>17359</v>
          </cell>
          <cell r="C304">
            <v>22825</v>
          </cell>
          <cell r="D304">
            <v>53854</v>
          </cell>
          <cell r="E304">
            <v>66079</v>
          </cell>
          <cell r="F304">
            <v>91315</v>
          </cell>
          <cell r="G304">
            <v>85141</v>
          </cell>
          <cell r="H304">
            <v>104481</v>
          </cell>
          <cell r="I304">
            <v>117191</v>
          </cell>
          <cell r="J304">
            <v>103703</v>
          </cell>
          <cell r="K304">
            <v>95830</v>
          </cell>
          <cell r="L304">
            <v>106558</v>
          </cell>
          <cell r="M304">
            <v>104596</v>
          </cell>
          <cell r="N304">
            <v>143000</v>
          </cell>
          <cell r="O304">
            <v>88236</v>
          </cell>
          <cell r="P304">
            <v>120191</v>
          </cell>
          <cell r="Q304">
            <v>132308</v>
          </cell>
          <cell r="R304">
            <v>58148</v>
          </cell>
          <cell r="S304">
            <v>81786</v>
          </cell>
          <cell r="T304">
            <v>109488</v>
          </cell>
          <cell r="U304">
            <v>88888</v>
          </cell>
          <cell r="V304">
            <v>87388</v>
          </cell>
          <cell r="W304">
            <v>73548</v>
          </cell>
          <cell r="X304">
            <v>60795</v>
          </cell>
          <cell r="Y304">
            <v>73234</v>
          </cell>
          <cell r="Z304">
            <v>26934</v>
          </cell>
          <cell r="AA304">
            <v>34988</v>
          </cell>
          <cell r="AB304">
            <v>22242</v>
          </cell>
          <cell r="AC304">
            <v>28395</v>
          </cell>
          <cell r="AD304">
            <v>46621</v>
          </cell>
          <cell r="AE304">
            <v>61248</v>
          </cell>
          <cell r="AF304">
            <v>36965</v>
          </cell>
          <cell r="AG304">
            <v>32683</v>
          </cell>
          <cell r="AH304">
            <v>29597</v>
          </cell>
          <cell r="AI304">
            <v>7308</v>
          </cell>
          <cell r="AJ304">
            <v>42680</v>
          </cell>
          <cell r="AK304">
            <v>12705</v>
          </cell>
          <cell r="AL304">
            <v>22899</v>
          </cell>
          <cell r="AM304">
            <v>30855</v>
          </cell>
          <cell r="AN304">
            <v>21037</v>
          </cell>
          <cell r="AO304">
            <v>15464</v>
          </cell>
          <cell r="AP304">
            <v>12244</v>
          </cell>
          <cell r="AQ304">
            <v>14233</v>
          </cell>
          <cell r="AR304">
            <v>2652</v>
          </cell>
          <cell r="AS304">
            <v>14655</v>
          </cell>
          <cell r="AT304">
            <v>11938</v>
          </cell>
          <cell r="AU304">
            <v>40726</v>
          </cell>
          <cell r="AV304">
            <v>20826</v>
          </cell>
          <cell r="AW304">
            <v>3122</v>
          </cell>
          <cell r="AX304">
            <v>17303</v>
          </cell>
          <cell r="AY304">
            <v>11777</v>
          </cell>
          <cell r="AZ304">
            <v>9741</v>
          </cell>
          <cell r="BA304">
            <v>9801</v>
          </cell>
          <cell r="BB304">
            <v>9741</v>
          </cell>
          <cell r="BC304">
            <v>6905</v>
          </cell>
          <cell r="BD304">
            <v>14035</v>
          </cell>
          <cell r="BE304">
            <v>9869</v>
          </cell>
          <cell r="BF304">
            <v>12988</v>
          </cell>
          <cell r="BG304">
            <v>12263</v>
          </cell>
          <cell r="BH304">
            <v>4467</v>
          </cell>
          <cell r="BI304">
            <v>4086</v>
          </cell>
          <cell r="BK304">
            <v>3524</v>
          </cell>
          <cell r="BN304">
            <v>3278</v>
          </cell>
          <cell r="BO304">
            <v>4159</v>
          </cell>
          <cell r="DN304">
            <v>2812896</v>
          </cell>
          <cell r="DO304">
            <v>304</v>
          </cell>
        </row>
        <row r="305">
          <cell r="A305" t="str">
            <v>Salem, OR Metro Area</v>
          </cell>
          <cell r="B305">
            <v>3233</v>
          </cell>
          <cell r="C305">
            <v>55449</v>
          </cell>
          <cell r="D305">
            <v>23856</v>
          </cell>
          <cell r="E305">
            <v>72618</v>
          </cell>
          <cell r="F305">
            <v>65281</v>
          </cell>
          <cell r="G305">
            <v>4408</v>
          </cell>
          <cell r="H305">
            <v>21230</v>
          </cell>
          <cell r="I305">
            <v>5033</v>
          </cell>
          <cell r="J305">
            <v>2030</v>
          </cell>
          <cell r="L305">
            <v>26536</v>
          </cell>
          <cell r="N305">
            <v>10012</v>
          </cell>
          <cell r="O305">
            <v>27861</v>
          </cell>
          <cell r="P305">
            <v>9344</v>
          </cell>
          <cell r="Q305">
            <v>12921</v>
          </cell>
          <cell r="R305">
            <v>20931</v>
          </cell>
          <cell r="S305">
            <v>10233</v>
          </cell>
          <cell r="T305">
            <v>1477</v>
          </cell>
          <cell r="W305">
            <v>13182</v>
          </cell>
          <cell r="X305">
            <v>2632</v>
          </cell>
          <cell r="AG305">
            <v>2471</v>
          </cell>
          <cell r="DN305">
            <v>390738</v>
          </cell>
          <cell r="DO305">
            <v>305</v>
          </cell>
        </row>
        <row r="306">
          <cell r="A306" t="str">
            <v>Salinas, CA Metro Area</v>
          </cell>
          <cell r="B306">
            <v>17264</v>
          </cell>
          <cell r="C306">
            <v>42837</v>
          </cell>
          <cell r="D306">
            <v>67998</v>
          </cell>
          <cell r="E306">
            <v>26686</v>
          </cell>
          <cell r="F306">
            <v>2079</v>
          </cell>
          <cell r="G306">
            <v>6769</v>
          </cell>
          <cell r="H306">
            <v>6197</v>
          </cell>
          <cell r="I306">
            <v>21182</v>
          </cell>
          <cell r="J306">
            <v>20614</v>
          </cell>
          <cell r="K306">
            <v>11459</v>
          </cell>
          <cell r="L306">
            <v>13141</v>
          </cell>
          <cell r="M306">
            <v>18174</v>
          </cell>
          <cell r="N306">
            <v>9918</v>
          </cell>
          <cell r="O306">
            <v>15396</v>
          </cell>
          <cell r="P306">
            <v>27259</v>
          </cell>
          <cell r="Q306">
            <v>23422</v>
          </cell>
          <cell r="R306">
            <v>15173</v>
          </cell>
          <cell r="S306">
            <v>3743</v>
          </cell>
          <cell r="V306">
            <v>10109</v>
          </cell>
          <cell r="Z306">
            <v>11454</v>
          </cell>
          <cell r="AA306">
            <v>5188</v>
          </cell>
          <cell r="AD306">
            <v>1710</v>
          </cell>
          <cell r="AI306">
            <v>17231</v>
          </cell>
          <cell r="AS306">
            <v>16276</v>
          </cell>
          <cell r="BM306">
            <v>3778</v>
          </cell>
          <cell r="DN306">
            <v>415057</v>
          </cell>
          <cell r="DO306">
            <v>306</v>
          </cell>
        </row>
        <row r="307">
          <cell r="A307" t="str">
            <v>Salisbury, MD Metro Area</v>
          </cell>
          <cell r="B307">
            <v>10276</v>
          </cell>
          <cell r="C307">
            <v>20647</v>
          </cell>
          <cell r="D307">
            <v>24158</v>
          </cell>
          <cell r="E307">
            <v>4501</v>
          </cell>
          <cell r="F307">
            <v>19976</v>
          </cell>
          <cell r="I307">
            <v>4200</v>
          </cell>
          <cell r="J307">
            <v>6110</v>
          </cell>
          <cell r="L307">
            <v>8865</v>
          </cell>
          <cell r="M307">
            <v>11231</v>
          </cell>
          <cell r="Q307">
            <v>3434</v>
          </cell>
          <cell r="T307">
            <v>2539</v>
          </cell>
          <cell r="X307">
            <v>1817</v>
          </cell>
          <cell r="AB307">
            <v>4396</v>
          </cell>
          <cell r="AE307">
            <v>3053</v>
          </cell>
          <cell r="DN307">
            <v>125203</v>
          </cell>
          <cell r="DO307">
            <v>307</v>
          </cell>
        </row>
        <row r="308">
          <cell r="A308" t="str">
            <v>Salt Lake City, UT Metro Area</v>
          </cell>
          <cell r="B308">
            <v>20208</v>
          </cell>
          <cell r="C308">
            <v>47871</v>
          </cell>
          <cell r="D308">
            <v>64888</v>
          </cell>
          <cell r="E308">
            <v>49955</v>
          </cell>
          <cell r="F308">
            <v>49051</v>
          </cell>
          <cell r="G308">
            <v>55501</v>
          </cell>
          <cell r="H308">
            <v>76911</v>
          </cell>
          <cell r="I308">
            <v>65057</v>
          </cell>
          <cell r="J308">
            <v>58526</v>
          </cell>
          <cell r="K308">
            <v>96330</v>
          </cell>
          <cell r="L308">
            <v>95834</v>
          </cell>
          <cell r="M308">
            <v>55797</v>
          </cell>
          <cell r="N308">
            <v>69204</v>
          </cell>
          <cell r="O308">
            <v>44623</v>
          </cell>
          <cell r="P308">
            <v>42231</v>
          </cell>
          <cell r="Q308">
            <v>43737</v>
          </cell>
          <cell r="R308">
            <v>18833</v>
          </cell>
          <cell r="S308">
            <v>32443</v>
          </cell>
          <cell r="T308">
            <v>32775</v>
          </cell>
          <cell r="U308">
            <v>18810</v>
          </cell>
          <cell r="V308">
            <v>10818</v>
          </cell>
          <cell r="W308">
            <v>4948</v>
          </cell>
          <cell r="X308">
            <v>3336</v>
          </cell>
          <cell r="Z308">
            <v>13633</v>
          </cell>
          <cell r="AA308">
            <v>10976</v>
          </cell>
          <cell r="AB308">
            <v>10831</v>
          </cell>
          <cell r="AC308">
            <v>9467</v>
          </cell>
          <cell r="AF308">
            <v>0</v>
          </cell>
          <cell r="AG308">
            <v>10052</v>
          </cell>
          <cell r="AH308">
            <v>5366</v>
          </cell>
          <cell r="AI308">
            <v>3605</v>
          </cell>
          <cell r="AT308">
            <v>103</v>
          </cell>
          <cell r="CK308">
            <v>2477</v>
          </cell>
          <cell r="DN308">
            <v>1124197</v>
          </cell>
          <cell r="DO308">
            <v>308</v>
          </cell>
        </row>
        <row r="309">
          <cell r="A309" t="str">
            <v>San Angelo, TX Metro Area</v>
          </cell>
          <cell r="B309">
            <v>5207</v>
          </cell>
          <cell r="C309">
            <v>20021</v>
          </cell>
          <cell r="D309">
            <v>39993</v>
          </cell>
          <cell r="E309">
            <v>14829</v>
          </cell>
          <cell r="F309">
            <v>8803</v>
          </cell>
          <cell r="H309">
            <v>5785</v>
          </cell>
          <cell r="I309">
            <v>7661</v>
          </cell>
          <cell r="J309">
            <v>4771</v>
          </cell>
          <cell r="K309">
            <v>3154</v>
          </cell>
          <cell r="AC309">
            <v>1599</v>
          </cell>
          <cell r="DN309">
            <v>111823</v>
          </cell>
          <cell r="DO309">
            <v>309</v>
          </cell>
        </row>
        <row r="310">
          <cell r="A310" t="str">
            <v>San Antonio-New Braunfels, TX Metro Area</v>
          </cell>
          <cell r="B310">
            <v>12330</v>
          </cell>
          <cell r="C310">
            <v>46064</v>
          </cell>
          <cell r="D310">
            <v>88555</v>
          </cell>
          <cell r="E310">
            <v>103150</v>
          </cell>
          <cell r="F310">
            <v>101567</v>
          </cell>
          <cell r="G310">
            <v>137119</v>
          </cell>
          <cell r="H310">
            <v>97349</v>
          </cell>
          <cell r="I310">
            <v>117057</v>
          </cell>
          <cell r="J310">
            <v>133532</v>
          </cell>
          <cell r="K310">
            <v>141084</v>
          </cell>
          <cell r="L310">
            <v>107595</v>
          </cell>
          <cell r="M310">
            <v>166695</v>
          </cell>
          <cell r="N310">
            <v>112036</v>
          </cell>
          <cell r="O310">
            <v>84163</v>
          </cell>
          <cell r="P310">
            <v>103594</v>
          </cell>
          <cell r="Q310">
            <v>41982</v>
          </cell>
          <cell r="R310">
            <v>53565</v>
          </cell>
          <cell r="S310">
            <v>60028</v>
          </cell>
          <cell r="T310">
            <v>21216</v>
          </cell>
          <cell r="U310">
            <v>29656</v>
          </cell>
          <cell r="V310">
            <v>8879</v>
          </cell>
          <cell r="W310">
            <v>22112</v>
          </cell>
          <cell r="X310">
            <v>20544</v>
          </cell>
          <cell r="Y310">
            <v>21461</v>
          </cell>
          <cell r="Z310">
            <v>17639</v>
          </cell>
          <cell r="AA310">
            <v>8179</v>
          </cell>
          <cell r="AB310">
            <v>5477</v>
          </cell>
          <cell r="AC310">
            <v>28125</v>
          </cell>
          <cell r="AD310">
            <v>33459</v>
          </cell>
          <cell r="AE310">
            <v>23797</v>
          </cell>
          <cell r="AF310">
            <v>19233</v>
          </cell>
          <cell r="AG310">
            <v>46777</v>
          </cell>
          <cell r="AH310">
            <v>11018</v>
          </cell>
          <cell r="AI310">
            <v>9222</v>
          </cell>
          <cell r="AJ310">
            <v>22629</v>
          </cell>
          <cell r="AK310">
            <v>8579</v>
          </cell>
          <cell r="AL310">
            <v>19990</v>
          </cell>
          <cell r="AM310">
            <v>4464</v>
          </cell>
          <cell r="AN310">
            <v>15877</v>
          </cell>
          <cell r="AO310">
            <v>10542</v>
          </cell>
          <cell r="AP310">
            <v>7597</v>
          </cell>
          <cell r="AR310">
            <v>6392</v>
          </cell>
          <cell r="AS310">
            <v>2744</v>
          </cell>
          <cell r="AT310">
            <v>4949</v>
          </cell>
          <cell r="AW310">
            <v>1760</v>
          </cell>
          <cell r="BE310">
            <v>2726</v>
          </cell>
          <cell r="DN310">
            <v>2142508</v>
          </cell>
          <cell r="DO310">
            <v>310</v>
          </cell>
        </row>
        <row r="311">
          <cell r="A311" t="str">
            <v>San Diego-Carlsbad-San Marcos, CA Metro Area</v>
          </cell>
          <cell r="B311">
            <v>37762</v>
          </cell>
          <cell r="C311">
            <v>41933</v>
          </cell>
          <cell r="D311">
            <v>90148</v>
          </cell>
          <cell r="E311">
            <v>112647</v>
          </cell>
          <cell r="F311">
            <v>160660</v>
          </cell>
          <cell r="G311">
            <v>145124</v>
          </cell>
          <cell r="H311">
            <v>139496</v>
          </cell>
          <cell r="I311">
            <v>166321</v>
          </cell>
          <cell r="J311">
            <v>133949</v>
          </cell>
          <cell r="K311">
            <v>141848</v>
          </cell>
          <cell r="L311">
            <v>153973</v>
          </cell>
          <cell r="M311">
            <v>140040</v>
          </cell>
          <cell r="N311">
            <v>104862</v>
          </cell>
          <cell r="O311">
            <v>133692</v>
          </cell>
          <cell r="P311">
            <v>128869</v>
          </cell>
          <cell r="Q311">
            <v>51669</v>
          </cell>
          <cell r="R311">
            <v>71228</v>
          </cell>
          <cell r="S311">
            <v>78997</v>
          </cell>
          <cell r="T311">
            <v>46280</v>
          </cell>
          <cell r="U311">
            <v>22035</v>
          </cell>
          <cell r="V311">
            <v>48069</v>
          </cell>
          <cell r="W311">
            <v>33870</v>
          </cell>
          <cell r="X311">
            <v>33646</v>
          </cell>
          <cell r="Y311">
            <v>18669</v>
          </cell>
          <cell r="Z311">
            <v>48420</v>
          </cell>
          <cell r="AA311">
            <v>26066</v>
          </cell>
          <cell r="AB311">
            <v>21730</v>
          </cell>
          <cell r="AC311">
            <v>64939</v>
          </cell>
          <cell r="AD311">
            <v>74046</v>
          </cell>
          <cell r="AE311">
            <v>86029</v>
          </cell>
          <cell r="AF311">
            <v>67826</v>
          </cell>
          <cell r="AG311">
            <v>59710</v>
          </cell>
          <cell r="AH311">
            <v>38821</v>
          </cell>
          <cell r="AI311">
            <v>57443</v>
          </cell>
          <cell r="AJ311">
            <v>35338</v>
          </cell>
          <cell r="AK311">
            <v>72458</v>
          </cell>
          <cell r="AL311">
            <v>46761</v>
          </cell>
          <cell r="AM311">
            <v>24194</v>
          </cell>
          <cell r="AN311">
            <v>17183</v>
          </cell>
          <cell r="AO311">
            <v>12616</v>
          </cell>
          <cell r="AP311">
            <v>3075</v>
          </cell>
          <cell r="AR311">
            <v>23169</v>
          </cell>
          <cell r="AS311">
            <v>41066</v>
          </cell>
          <cell r="AU311">
            <v>12798</v>
          </cell>
          <cell r="AV311">
            <v>10501</v>
          </cell>
          <cell r="AW311">
            <v>10897</v>
          </cell>
          <cell r="BG311">
            <v>4440</v>
          </cell>
          <cell r="DN311">
            <v>3095313</v>
          </cell>
          <cell r="DO311">
            <v>311</v>
          </cell>
        </row>
        <row r="312">
          <cell r="A312" t="str">
            <v>Sandusky, OH Metro Area</v>
          </cell>
          <cell r="B312">
            <v>7106</v>
          </cell>
          <cell r="C312">
            <v>14560</v>
          </cell>
          <cell r="D312">
            <v>6128</v>
          </cell>
          <cell r="E312">
            <v>10154</v>
          </cell>
          <cell r="H312">
            <v>6612</v>
          </cell>
          <cell r="I312">
            <v>4805</v>
          </cell>
          <cell r="J312">
            <v>5621</v>
          </cell>
          <cell r="K312">
            <v>6236</v>
          </cell>
          <cell r="Q312">
            <v>6170</v>
          </cell>
          <cell r="R312">
            <v>4035</v>
          </cell>
          <cell r="S312">
            <v>5652</v>
          </cell>
          <cell r="DN312">
            <v>77079</v>
          </cell>
          <cell r="DO312">
            <v>312</v>
          </cell>
        </row>
        <row r="313">
          <cell r="A313" t="str">
            <v>San Francisco-Oakland-Fremont, CA Metro Area</v>
          </cell>
          <cell r="B313">
            <v>119382</v>
          </cell>
          <cell r="C313">
            <v>236422</v>
          </cell>
          <cell r="D313">
            <v>102285</v>
          </cell>
          <cell r="E313">
            <v>150615</v>
          </cell>
          <cell r="F313">
            <v>151590</v>
          </cell>
          <cell r="G313">
            <v>68998</v>
          </cell>
          <cell r="H313">
            <v>54018</v>
          </cell>
          <cell r="I313">
            <v>62357</v>
          </cell>
          <cell r="J313">
            <v>145060</v>
          </cell>
          <cell r="K313">
            <v>196378</v>
          </cell>
          <cell r="L313">
            <v>220948</v>
          </cell>
          <cell r="M313">
            <v>171291</v>
          </cell>
          <cell r="N313">
            <v>117705</v>
          </cell>
          <cell r="O313">
            <v>146959</v>
          </cell>
          <cell r="P313">
            <v>104893</v>
          </cell>
          <cell r="Q313">
            <v>130885</v>
          </cell>
          <cell r="R313">
            <v>101385</v>
          </cell>
          <cell r="S313">
            <v>152227</v>
          </cell>
          <cell r="T313">
            <v>85968</v>
          </cell>
          <cell r="U313">
            <v>128147</v>
          </cell>
          <cell r="V313">
            <v>115816</v>
          </cell>
          <cell r="W313">
            <v>104213</v>
          </cell>
          <cell r="X313">
            <v>145920</v>
          </cell>
          <cell r="Y313">
            <v>166509</v>
          </cell>
          <cell r="Z313">
            <v>128866</v>
          </cell>
          <cell r="AA313">
            <v>114367</v>
          </cell>
          <cell r="AB313">
            <v>146608</v>
          </cell>
          <cell r="AC313">
            <v>92235</v>
          </cell>
          <cell r="AD313">
            <v>87888</v>
          </cell>
          <cell r="AE313">
            <v>82146</v>
          </cell>
          <cell r="AF313">
            <v>90557</v>
          </cell>
          <cell r="AG313">
            <v>25505</v>
          </cell>
          <cell r="AH313">
            <v>33398</v>
          </cell>
          <cell r="AI313">
            <v>42289</v>
          </cell>
          <cell r="AJ313">
            <v>36473</v>
          </cell>
          <cell r="AK313">
            <v>45610</v>
          </cell>
          <cell r="AL313">
            <v>48617</v>
          </cell>
          <cell r="AM313">
            <v>40811</v>
          </cell>
          <cell r="AN313">
            <v>33002</v>
          </cell>
          <cell r="AO313">
            <v>30961</v>
          </cell>
          <cell r="AP313">
            <v>28437</v>
          </cell>
          <cell r="AQ313">
            <v>20938</v>
          </cell>
          <cell r="AR313">
            <v>7718</v>
          </cell>
          <cell r="AS313">
            <v>1426</v>
          </cell>
          <cell r="AT313">
            <v>6738</v>
          </cell>
          <cell r="AU313">
            <v>10830</v>
          </cell>
          <cell r="DN313">
            <v>4335391</v>
          </cell>
          <cell r="DO313">
            <v>313</v>
          </cell>
        </row>
        <row r="314">
          <cell r="A314" t="str">
            <v>San Jose-Sunnyvale-Santa Clara, CA Metro Area</v>
          </cell>
          <cell r="B314">
            <v>34882</v>
          </cell>
          <cell r="C314">
            <v>70116</v>
          </cell>
          <cell r="D314">
            <v>142584</v>
          </cell>
          <cell r="E314">
            <v>163724</v>
          </cell>
          <cell r="F314">
            <v>223585</v>
          </cell>
          <cell r="G314">
            <v>231963</v>
          </cell>
          <cell r="H314">
            <v>178712</v>
          </cell>
          <cell r="I314">
            <v>206104</v>
          </cell>
          <cell r="J314">
            <v>136867</v>
          </cell>
          <cell r="K314">
            <v>89252</v>
          </cell>
          <cell r="L314">
            <v>33267</v>
          </cell>
          <cell r="M314">
            <v>32310</v>
          </cell>
          <cell r="N314">
            <v>34921</v>
          </cell>
          <cell r="O314">
            <v>26125</v>
          </cell>
          <cell r="P314">
            <v>23665</v>
          </cell>
          <cell r="Q314">
            <v>18263</v>
          </cell>
          <cell r="R314">
            <v>23484</v>
          </cell>
          <cell r="S314">
            <v>3183</v>
          </cell>
          <cell r="T314">
            <v>13182</v>
          </cell>
          <cell r="U314">
            <v>13792</v>
          </cell>
          <cell r="V314">
            <v>9931</v>
          </cell>
          <cell r="W314">
            <v>6344</v>
          </cell>
          <cell r="Y314">
            <v>9181</v>
          </cell>
          <cell r="Z314">
            <v>4782</v>
          </cell>
          <cell r="AB314">
            <v>7726</v>
          </cell>
          <cell r="AC314">
            <v>13981</v>
          </cell>
          <cell r="AD314">
            <v>22608</v>
          </cell>
          <cell r="AE314">
            <v>7108</v>
          </cell>
          <cell r="AN314">
            <v>6051</v>
          </cell>
          <cell r="AP314">
            <v>5007</v>
          </cell>
          <cell r="AR314">
            <v>7861</v>
          </cell>
          <cell r="AS314">
            <v>17022</v>
          </cell>
          <cell r="AT314">
            <v>13712</v>
          </cell>
          <cell r="AV314">
            <v>3082</v>
          </cell>
          <cell r="BC314">
            <v>2534</v>
          </cell>
          <cell r="DN314">
            <v>1836911</v>
          </cell>
          <cell r="DO314">
            <v>314</v>
          </cell>
        </row>
        <row r="315">
          <cell r="A315" t="str">
            <v>San Luis Obispo-Paso Robles, CA Metro Area</v>
          </cell>
          <cell r="B315">
            <v>16832</v>
          </cell>
          <cell r="C315">
            <v>23725</v>
          </cell>
          <cell r="D315">
            <v>13152</v>
          </cell>
          <cell r="E315">
            <v>6446</v>
          </cell>
          <cell r="G315">
            <v>4292</v>
          </cell>
          <cell r="J315">
            <v>3336</v>
          </cell>
          <cell r="K315">
            <v>7788</v>
          </cell>
          <cell r="L315">
            <v>10401</v>
          </cell>
          <cell r="M315">
            <v>30713</v>
          </cell>
          <cell r="N315">
            <v>31027</v>
          </cell>
          <cell r="O315">
            <v>13132</v>
          </cell>
          <cell r="P315">
            <v>4985</v>
          </cell>
          <cell r="Q315">
            <v>4891</v>
          </cell>
          <cell r="R315">
            <v>11546</v>
          </cell>
          <cell r="S315">
            <v>13946</v>
          </cell>
          <cell r="T315">
            <v>2539</v>
          </cell>
          <cell r="U315">
            <v>9097</v>
          </cell>
          <cell r="V315">
            <v>6621</v>
          </cell>
          <cell r="X315">
            <v>11222</v>
          </cell>
          <cell r="Y315">
            <v>4159</v>
          </cell>
          <cell r="Z315">
            <v>15813</v>
          </cell>
          <cell r="AA315">
            <v>10043</v>
          </cell>
          <cell r="AE315">
            <v>4864</v>
          </cell>
          <cell r="AF315">
            <v>3788</v>
          </cell>
          <cell r="AG315">
            <v>2249</v>
          </cell>
          <cell r="AI315">
            <v>3030</v>
          </cell>
          <cell r="DN315">
            <v>269637</v>
          </cell>
          <cell r="DO315">
            <v>315</v>
          </cell>
        </row>
        <row r="316">
          <cell r="A316" t="str">
            <v>Santa Barbara-Santa Maria-Goleta, CA Metro Area</v>
          </cell>
          <cell r="B316">
            <v>22815</v>
          </cell>
          <cell r="C316">
            <v>42538</v>
          </cell>
          <cell r="D316">
            <v>23074</v>
          </cell>
          <cell r="E316">
            <v>8637</v>
          </cell>
          <cell r="F316">
            <v>13239</v>
          </cell>
          <cell r="G316">
            <v>13069</v>
          </cell>
          <cell r="H316">
            <v>3596</v>
          </cell>
          <cell r="I316">
            <v>12995</v>
          </cell>
          <cell r="J316">
            <v>8709</v>
          </cell>
          <cell r="K316">
            <v>24089</v>
          </cell>
          <cell r="L316">
            <v>24331</v>
          </cell>
          <cell r="M316">
            <v>2565</v>
          </cell>
          <cell r="O316">
            <v>2499</v>
          </cell>
          <cell r="Z316">
            <v>5870</v>
          </cell>
          <cell r="AC316">
            <v>3231</v>
          </cell>
          <cell r="AD316">
            <v>5764</v>
          </cell>
          <cell r="AF316">
            <v>11</v>
          </cell>
          <cell r="AI316">
            <v>9050</v>
          </cell>
          <cell r="AT316">
            <v>3306</v>
          </cell>
          <cell r="AU316">
            <v>17822</v>
          </cell>
          <cell r="AV316">
            <v>20916</v>
          </cell>
          <cell r="AW316">
            <v>2266</v>
          </cell>
          <cell r="AX316">
            <v>6506</v>
          </cell>
          <cell r="AY316">
            <v>5822</v>
          </cell>
          <cell r="BA316">
            <v>9342</v>
          </cell>
          <cell r="BB316">
            <v>16657</v>
          </cell>
          <cell r="BC316">
            <v>12291</v>
          </cell>
          <cell r="BD316">
            <v>14613</v>
          </cell>
          <cell r="BE316">
            <v>35980</v>
          </cell>
          <cell r="BF316">
            <v>28581</v>
          </cell>
          <cell r="BG316">
            <v>16366</v>
          </cell>
          <cell r="BL316">
            <v>7345</v>
          </cell>
          <cell r="DN316">
            <v>423895</v>
          </cell>
          <cell r="DO316">
            <v>316</v>
          </cell>
        </row>
        <row r="317">
          <cell r="A317" t="str">
            <v>Santa Cruz-Watsonville, CA Metro Area</v>
          </cell>
          <cell r="B317">
            <v>24092</v>
          </cell>
          <cell r="C317">
            <v>25253</v>
          </cell>
          <cell r="D317">
            <v>24829</v>
          </cell>
          <cell r="E317">
            <v>23624</v>
          </cell>
          <cell r="F317">
            <v>17993</v>
          </cell>
          <cell r="G317">
            <v>19812</v>
          </cell>
          <cell r="H317">
            <v>3267</v>
          </cell>
          <cell r="I317">
            <v>7335</v>
          </cell>
          <cell r="J317">
            <v>20641</v>
          </cell>
          <cell r="K317">
            <v>4283</v>
          </cell>
          <cell r="L317">
            <v>3423</v>
          </cell>
          <cell r="M317">
            <v>3943</v>
          </cell>
          <cell r="N317">
            <v>12160</v>
          </cell>
          <cell r="O317">
            <v>11682</v>
          </cell>
          <cell r="P317">
            <v>30059</v>
          </cell>
          <cell r="Q317">
            <v>20779</v>
          </cell>
          <cell r="R317">
            <v>7466</v>
          </cell>
          <cell r="S317">
            <v>1741</v>
          </cell>
          <cell r="DN317">
            <v>262382</v>
          </cell>
          <cell r="DO317">
            <v>317</v>
          </cell>
        </row>
        <row r="318">
          <cell r="A318" t="str">
            <v>Santa Fe, NM Metro Area</v>
          </cell>
          <cell r="B318">
            <v>10077</v>
          </cell>
          <cell r="C318">
            <v>12395</v>
          </cell>
          <cell r="D318">
            <v>12001</v>
          </cell>
          <cell r="E318">
            <v>10786</v>
          </cell>
          <cell r="F318">
            <v>11952</v>
          </cell>
          <cell r="G318">
            <v>12073</v>
          </cell>
          <cell r="H318">
            <v>4256</v>
          </cell>
          <cell r="I318">
            <v>21822</v>
          </cell>
          <cell r="J318">
            <v>2563</v>
          </cell>
          <cell r="K318">
            <v>8169</v>
          </cell>
          <cell r="L318">
            <v>5911</v>
          </cell>
          <cell r="M318">
            <v>929</v>
          </cell>
          <cell r="N318">
            <v>2349</v>
          </cell>
          <cell r="P318">
            <v>7262</v>
          </cell>
          <cell r="R318">
            <v>1752</v>
          </cell>
          <cell r="S318">
            <v>1765</v>
          </cell>
          <cell r="V318">
            <v>4880</v>
          </cell>
          <cell r="X318">
            <v>3119</v>
          </cell>
          <cell r="AO318">
            <v>1291</v>
          </cell>
          <cell r="AQ318">
            <v>4243</v>
          </cell>
          <cell r="AU318">
            <v>4575</v>
          </cell>
          <cell r="DN318">
            <v>144170</v>
          </cell>
          <cell r="DO318">
            <v>318</v>
          </cell>
        </row>
        <row r="319">
          <cell r="A319" t="str">
            <v>Santa Rosa-Petaluma, CA Metro Area</v>
          </cell>
          <cell r="B319">
            <v>12810</v>
          </cell>
          <cell r="C319">
            <v>53085</v>
          </cell>
          <cell r="D319">
            <v>80812</v>
          </cell>
          <cell r="E319">
            <v>32701</v>
          </cell>
          <cell r="F319">
            <v>13599</v>
          </cell>
          <cell r="G319">
            <v>25348</v>
          </cell>
          <cell r="H319">
            <v>25249</v>
          </cell>
          <cell r="I319">
            <v>45164</v>
          </cell>
          <cell r="K319">
            <v>33298</v>
          </cell>
          <cell r="L319">
            <v>12911</v>
          </cell>
          <cell r="N319">
            <v>18989</v>
          </cell>
          <cell r="O319">
            <v>14082</v>
          </cell>
          <cell r="P319">
            <v>49585</v>
          </cell>
          <cell r="Q319">
            <v>23054</v>
          </cell>
          <cell r="R319">
            <v>14918</v>
          </cell>
          <cell r="S319">
            <v>8183</v>
          </cell>
          <cell r="U319">
            <v>2322</v>
          </cell>
          <cell r="V319">
            <v>3729</v>
          </cell>
          <cell r="Y319">
            <v>2400</v>
          </cell>
          <cell r="AE319">
            <v>5994</v>
          </cell>
          <cell r="AF319">
            <v>3925</v>
          </cell>
          <cell r="AQ319">
            <v>1720</v>
          </cell>
          <cell r="DN319">
            <v>483878</v>
          </cell>
          <cell r="DO319">
            <v>319</v>
          </cell>
        </row>
        <row r="320">
          <cell r="A320" t="str">
            <v>Savannah, GA Metro Area</v>
          </cell>
          <cell r="B320">
            <v>6655</v>
          </cell>
          <cell r="C320">
            <v>24982</v>
          </cell>
          <cell r="D320">
            <v>23474</v>
          </cell>
          <cell r="E320">
            <v>23788</v>
          </cell>
          <cell r="F320">
            <v>25663</v>
          </cell>
          <cell r="G320">
            <v>15288</v>
          </cell>
          <cell r="H320">
            <v>21172</v>
          </cell>
          <cell r="I320">
            <v>12074</v>
          </cell>
          <cell r="J320">
            <v>38201</v>
          </cell>
          <cell r="K320">
            <v>38994</v>
          </cell>
          <cell r="L320">
            <v>17138</v>
          </cell>
          <cell r="M320">
            <v>11785</v>
          </cell>
          <cell r="N320">
            <v>2608</v>
          </cell>
          <cell r="P320">
            <v>15343</v>
          </cell>
          <cell r="Q320">
            <v>9289</v>
          </cell>
          <cell r="R320">
            <v>12454</v>
          </cell>
          <cell r="T320">
            <v>14243</v>
          </cell>
          <cell r="U320">
            <v>2253</v>
          </cell>
          <cell r="V320">
            <v>1858</v>
          </cell>
          <cell r="W320">
            <v>8690</v>
          </cell>
          <cell r="Y320">
            <v>4771</v>
          </cell>
          <cell r="Z320">
            <v>5235</v>
          </cell>
          <cell r="AA320">
            <v>3474</v>
          </cell>
          <cell r="AE320">
            <v>4967</v>
          </cell>
          <cell r="AG320">
            <v>3212</v>
          </cell>
          <cell r="DN320">
            <v>347611</v>
          </cell>
          <cell r="DO320">
            <v>320</v>
          </cell>
        </row>
        <row r="321">
          <cell r="A321" t="str">
            <v>Scranton--Wilkes-Barre, PA Metro Area</v>
          </cell>
          <cell r="B321">
            <v>22686</v>
          </cell>
          <cell r="C321">
            <v>43334</v>
          </cell>
          <cell r="D321">
            <v>30389</v>
          </cell>
          <cell r="E321">
            <v>6677</v>
          </cell>
          <cell r="F321">
            <v>17513</v>
          </cell>
          <cell r="G321">
            <v>12382</v>
          </cell>
          <cell r="H321">
            <v>30697</v>
          </cell>
          <cell r="I321">
            <v>13833</v>
          </cell>
          <cell r="J321">
            <v>21676</v>
          </cell>
          <cell r="K321">
            <v>18178</v>
          </cell>
          <cell r="L321">
            <v>24890</v>
          </cell>
          <cell r="M321">
            <v>8720</v>
          </cell>
          <cell r="N321">
            <v>7904</v>
          </cell>
          <cell r="O321">
            <v>18817</v>
          </cell>
          <cell r="P321">
            <v>28843</v>
          </cell>
          <cell r="Q321">
            <v>33515</v>
          </cell>
          <cell r="R321">
            <v>33872</v>
          </cell>
          <cell r="S321">
            <v>24567</v>
          </cell>
          <cell r="T321">
            <v>12147</v>
          </cell>
          <cell r="U321">
            <v>11117</v>
          </cell>
          <cell r="V321">
            <v>13579</v>
          </cell>
          <cell r="W321">
            <v>5962</v>
          </cell>
          <cell r="X321">
            <v>7950</v>
          </cell>
          <cell r="Y321">
            <v>16080</v>
          </cell>
          <cell r="AA321">
            <v>5374</v>
          </cell>
          <cell r="AB321">
            <v>6425</v>
          </cell>
          <cell r="AC321">
            <v>6295</v>
          </cell>
          <cell r="AD321">
            <v>3565</v>
          </cell>
          <cell r="AE321">
            <v>5573</v>
          </cell>
          <cell r="AF321">
            <v>9221</v>
          </cell>
          <cell r="AG321">
            <v>838</v>
          </cell>
          <cell r="AI321">
            <v>8290</v>
          </cell>
          <cell r="AJ321">
            <v>16320</v>
          </cell>
          <cell r="AK321">
            <v>28251</v>
          </cell>
          <cell r="AL321">
            <v>4254</v>
          </cell>
          <cell r="AM321">
            <v>1881</v>
          </cell>
          <cell r="AP321">
            <v>2016</v>
          </cell>
          <cell r="DN321">
            <v>563631</v>
          </cell>
          <cell r="DO321">
            <v>321</v>
          </cell>
        </row>
        <row r="322">
          <cell r="A322" t="str">
            <v>Seattle-Tacoma-Bellevue, WA Metro Area</v>
          </cell>
          <cell r="B322">
            <v>31357</v>
          </cell>
          <cell r="C322">
            <v>74379</v>
          </cell>
          <cell r="D322">
            <v>65343</v>
          </cell>
          <cell r="E322">
            <v>75200</v>
          </cell>
          <cell r="F322">
            <v>121260</v>
          </cell>
          <cell r="G322">
            <v>122314</v>
          </cell>
          <cell r="H322">
            <v>117588</v>
          </cell>
          <cell r="I322">
            <v>82396</v>
          </cell>
          <cell r="J322">
            <v>145992</v>
          </cell>
          <cell r="K322">
            <v>126579</v>
          </cell>
          <cell r="L322">
            <v>117007</v>
          </cell>
          <cell r="M322">
            <v>102219</v>
          </cell>
          <cell r="N322">
            <v>122468</v>
          </cell>
          <cell r="O322">
            <v>101270</v>
          </cell>
          <cell r="P322">
            <v>112796</v>
          </cell>
          <cell r="Q322">
            <v>124014</v>
          </cell>
          <cell r="R322">
            <v>102242</v>
          </cell>
          <cell r="S322">
            <v>45687</v>
          </cell>
          <cell r="T322">
            <v>88095</v>
          </cell>
          <cell r="U322">
            <v>108185</v>
          </cell>
          <cell r="V322">
            <v>132916</v>
          </cell>
          <cell r="W322">
            <v>91322</v>
          </cell>
          <cell r="X322">
            <v>85533</v>
          </cell>
          <cell r="Y322">
            <v>69032</v>
          </cell>
          <cell r="Z322">
            <v>97703</v>
          </cell>
          <cell r="AA322">
            <v>77496</v>
          </cell>
          <cell r="AB322">
            <v>35919</v>
          </cell>
          <cell r="AC322">
            <v>99120</v>
          </cell>
          <cell r="AD322">
            <v>104700</v>
          </cell>
          <cell r="AE322">
            <v>62560</v>
          </cell>
          <cell r="AF322">
            <v>85848</v>
          </cell>
          <cell r="AG322">
            <v>54510</v>
          </cell>
          <cell r="AH322">
            <v>104613</v>
          </cell>
          <cell r="AI322">
            <v>74860</v>
          </cell>
          <cell r="AJ322">
            <v>55272</v>
          </cell>
          <cell r="AK322">
            <v>46109</v>
          </cell>
          <cell r="AL322">
            <v>29472</v>
          </cell>
          <cell r="AM322">
            <v>31453</v>
          </cell>
          <cell r="AN322">
            <v>16661</v>
          </cell>
          <cell r="AO322">
            <v>34280</v>
          </cell>
          <cell r="AP322">
            <v>3409</v>
          </cell>
          <cell r="AQ322">
            <v>6383</v>
          </cell>
          <cell r="AR322">
            <v>3154</v>
          </cell>
          <cell r="AS322">
            <v>14542</v>
          </cell>
          <cell r="AT322">
            <v>17883</v>
          </cell>
          <cell r="AU322">
            <v>5555</v>
          </cell>
          <cell r="AW322">
            <v>3828</v>
          </cell>
          <cell r="BA322">
            <v>6220</v>
          </cell>
          <cell r="BE322">
            <v>3065</v>
          </cell>
          <cell r="DN322">
            <v>3439809</v>
          </cell>
          <cell r="DO322">
            <v>322</v>
          </cell>
        </row>
        <row r="323">
          <cell r="A323" t="str">
            <v>Sebastian-Vero Beach, FL Metro Area</v>
          </cell>
          <cell r="B323">
            <v>3888</v>
          </cell>
          <cell r="C323">
            <v>4660</v>
          </cell>
          <cell r="D323">
            <v>4657</v>
          </cell>
          <cell r="E323">
            <v>12330</v>
          </cell>
          <cell r="H323">
            <v>7150</v>
          </cell>
          <cell r="I323">
            <v>10898</v>
          </cell>
          <cell r="J323">
            <v>7218</v>
          </cell>
          <cell r="L323">
            <v>9487</v>
          </cell>
          <cell r="M323">
            <v>4860</v>
          </cell>
          <cell r="N323">
            <v>7423</v>
          </cell>
          <cell r="O323">
            <v>22396</v>
          </cell>
          <cell r="P323">
            <v>10169</v>
          </cell>
          <cell r="Q323">
            <v>14073</v>
          </cell>
          <cell r="R323">
            <v>1506</v>
          </cell>
          <cell r="S323">
            <v>15607</v>
          </cell>
          <cell r="T323">
            <v>1706</v>
          </cell>
          <cell r="DN323">
            <v>138028</v>
          </cell>
          <cell r="DO323">
            <v>323</v>
          </cell>
        </row>
        <row r="324">
          <cell r="A324" t="str">
            <v>Sheboygan, WI Metro Area</v>
          </cell>
          <cell r="B324">
            <v>14631</v>
          </cell>
          <cell r="C324">
            <v>24625</v>
          </cell>
          <cell r="D324">
            <v>11042</v>
          </cell>
          <cell r="E324">
            <v>8202</v>
          </cell>
          <cell r="F324">
            <v>3507</v>
          </cell>
          <cell r="G324">
            <v>5594</v>
          </cell>
          <cell r="H324">
            <v>3793</v>
          </cell>
          <cell r="J324">
            <v>6129</v>
          </cell>
          <cell r="K324">
            <v>3208</v>
          </cell>
          <cell r="M324">
            <v>7121</v>
          </cell>
          <cell r="N324">
            <v>3478</v>
          </cell>
          <cell r="O324">
            <v>7914</v>
          </cell>
          <cell r="P324">
            <v>2754</v>
          </cell>
          <cell r="Q324">
            <v>3101</v>
          </cell>
          <cell r="S324">
            <v>3615</v>
          </cell>
          <cell r="T324">
            <v>2622</v>
          </cell>
          <cell r="V324">
            <v>4171</v>
          </cell>
          <cell r="DN324">
            <v>115507</v>
          </cell>
          <cell r="DO324">
            <v>324</v>
          </cell>
        </row>
        <row r="325">
          <cell r="A325" t="str">
            <v>Sherman-Denison, TX Metro Area</v>
          </cell>
          <cell r="B325">
            <v>3072</v>
          </cell>
          <cell r="C325">
            <v>26373</v>
          </cell>
          <cell r="D325">
            <v>6542</v>
          </cell>
          <cell r="E325">
            <v>4196</v>
          </cell>
          <cell r="G325">
            <v>3591</v>
          </cell>
          <cell r="I325">
            <v>19099</v>
          </cell>
          <cell r="J325">
            <v>1304</v>
          </cell>
          <cell r="K325">
            <v>18007</v>
          </cell>
          <cell r="M325">
            <v>3056</v>
          </cell>
          <cell r="N325">
            <v>10515</v>
          </cell>
          <cell r="O325">
            <v>4767</v>
          </cell>
          <cell r="P325">
            <v>10058</v>
          </cell>
          <cell r="R325">
            <v>6928</v>
          </cell>
          <cell r="S325">
            <v>3369</v>
          </cell>
          <cell r="DN325">
            <v>120877</v>
          </cell>
          <cell r="DO325">
            <v>325</v>
          </cell>
        </row>
        <row r="326">
          <cell r="A326" t="str">
            <v>Shreveport-Bossier City, LA Metro Area</v>
          </cell>
          <cell r="B326">
            <v>1545</v>
          </cell>
          <cell r="C326">
            <v>17598</v>
          </cell>
          <cell r="D326">
            <v>40469</v>
          </cell>
          <cell r="E326">
            <v>31752</v>
          </cell>
          <cell r="F326">
            <v>43949</v>
          </cell>
          <cell r="G326">
            <v>38206</v>
          </cell>
          <cell r="H326">
            <v>19599</v>
          </cell>
          <cell r="I326">
            <v>31833</v>
          </cell>
          <cell r="J326">
            <v>44255</v>
          </cell>
          <cell r="K326">
            <v>11256</v>
          </cell>
          <cell r="L326">
            <v>25286</v>
          </cell>
          <cell r="M326">
            <v>11089</v>
          </cell>
          <cell r="N326">
            <v>13829</v>
          </cell>
          <cell r="O326">
            <v>13368</v>
          </cell>
          <cell r="P326">
            <v>6833</v>
          </cell>
          <cell r="S326">
            <v>8694</v>
          </cell>
          <cell r="U326">
            <v>5653</v>
          </cell>
          <cell r="Y326">
            <v>6273</v>
          </cell>
          <cell r="Z326">
            <v>3383</v>
          </cell>
          <cell r="AD326">
            <v>6450</v>
          </cell>
          <cell r="AG326">
            <v>2048</v>
          </cell>
          <cell r="AH326">
            <v>3140</v>
          </cell>
          <cell r="AI326">
            <v>2960</v>
          </cell>
          <cell r="AJ326">
            <v>6426</v>
          </cell>
          <cell r="AQ326">
            <v>2710</v>
          </cell>
          <cell r="DN326">
            <v>398604</v>
          </cell>
          <cell r="DO326">
            <v>326</v>
          </cell>
        </row>
        <row r="327">
          <cell r="A327" t="str">
            <v>Sioux City, IA-NE-SD Metro Area</v>
          </cell>
          <cell r="B327">
            <v>7527</v>
          </cell>
          <cell r="C327">
            <v>26166</v>
          </cell>
          <cell r="D327">
            <v>40548</v>
          </cell>
          <cell r="E327">
            <v>15620</v>
          </cell>
          <cell r="F327">
            <v>10095</v>
          </cell>
          <cell r="H327">
            <v>14655</v>
          </cell>
          <cell r="N327">
            <v>3433</v>
          </cell>
          <cell r="P327">
            <v>4768</v>
          </cell>
          <cell r="U327">
            <v>6697</v>
          </cell>
          <cell r="V327">
            <v>2587</v>
          </cell>
          <cell r="AA327">
            <v>3413</v>
          </cell>
          <cell r="AG327">
            <v>3911</v>
          </cell>
          <cell r="AO327">
            <v>4157</v>
          </cell>
          <cell r="DN327">
            <v>143577</v>
          </cell>
          <cell r="DO327">
            <v>327</v>
          </cell>
        </row>
        <row r="328">
          <cell r="A328" t="str">
            <v>Sioux Falls, SD Metro Area</v>
          </cell>
          <cell r="B328">
            <v>14576</v>
          </cell>
          <cell r="C328">
            <v>33868</v>
          </cell>
          <cell r="D328">
            <v>24717</v>
          </cell>
          <cell r="E328">
            <v>38345</v>
          </cell>
          <cell r="F328">
            <v>30708</v>
          </cell>
          <cell r="G328">
            <v>14397</v>
          </cell>
          <cell r="H328">
            <v>6353</v>
          </cell>
          <cell r="I328">
            <v>4777</v>
          </cell>
          <cell r="J328">
            <v>14017</v>
          </cell>
          <cell r="K328">
            <v>2437</v>
          </cell>
          <cell r="L328">
            <v>2474</v>
          </cell>
          <cell r="N328">
            <v>5590</v>
          </cell>
          <cell r="P328">
            <v>9094</v>
          </cell>
          <cell r="S328">
            <v>2712</v>
          </cell>
          <cell r="T328">
            <v>3583</v>
          </cell>
          <cell r="U328">
            <v>4056</v>
          </cell>
          <cell r="Y328">
            <v>4147</v>
          </cell>
          <cell r="AC328">
            <v>2592</v>
          </cell>
          <cell r="AF328">
            <v>6605</v>
          </cell>
          <cell r="AI328">
            <v>3213</v>
          </cell>
          <cell r="DN328">
            <v>228261</v>
          </cell>
          <cell r="DO328">
            <v>328</v>
          </cell>
        </row>
        <row r="329">
          <cell r="A329" t="str">
            <v>South Bend-Mishawaka, IN-MI Metro Area</v>
          </cell>
          <cell r="B329">
            <v>9365</v>
          </cell>
          <cell r="C329">
            <v>43091</v>
          </cell>
          <cell r="D329">
            <v>43170</v>
          </cell>
          <cell r="E329">
            <v>30959</v>
          </cell>
          <cell r="F329">
            <v>45339</v>
          </cell>
          <cell r="G329">
            <v>18383</v>
          </cell>
          <cell r="H329">
            <v>28655</v>
          </cell>
          <cell r="I329">
            <v>6886</v>
          </cell>
          <cell r="J329">
            <v>20423</v>
          </cell>
          <cell r="L329">
            <v>15361</v>
          </cell>
          <cell r="M329">
            <v>5667</v>
          </cell>
          <cell r="N329">
            <v>4660</v>
          </cell>
          <cell r="O329">
            <v>3830</v>
          </cell>
          <cell r="P329">
            <v>3204</v>
          </cell>
          <cell r="S329">
            <v>8981</v>
          </cell>
          <cell r="T329">
            <v>3065</v>
          </cell>
          <cell r="U329">
            <v>5915</v>
          </cell>
          <cell r="X329">
            <v>3811</v>
          </cell>
          <cell r="Y329">
            <v>3798</v>
          </cell>
          <cell r="Z329">
            <v>9378</v>
          </cell>
          <cell r="AF329">
            <v>5283</v>
          </cell>
          <cell r="DN329">
            <v>319224</v>
          </cell>
          <cell r="DO329">
            <v>329</v>
          </cell>
        </row>
        <row r="330">
          <cell r="A330" t="str">
            <v>Spartanburg, SC Metro Area</v>
          </cell>
          <cell r="B330">
            <v>5691</v>
          </cell>
          <cell r="C330">
            <v>20469</v>
          </cell>
          <cell r="D330">
            <v>20545</v>
          </cell>
          <cell r="E330">
            <v>17414</v>
          </cell>
          <cell r="F330">
            <v>29204</v>
          </cell>
          <cell r="G330">
            <v>15682</v>
          </cell>
          <cell r="H330">
            <v>18093</v>
          </cell>
          <cell r="I330">
            <v>9956</v>
          </cell>
          <cell r="J330">
            <v>15433</v>
          </cell>
          <cell r="K330">
            <v>23366</v>
          </cell>
          <cell r="L330">
            <v>16872</v>
          </cell>
          <cell r="M330">
            <v>17200</v>
          </cell>
          <cell r="N330">
            <v>5634</v>
          </cell>
          <cell r="O330">
            <v>20803</v>
          </cell>
          <cell r="P330">
            <v>8121</v>
          </cell>
          <cell r="Q330">
            <v>26292</v>
          </cell>
          <cell r="R330">
            <v>1815</v>
          </cell>
          <cell r="S330">
            <v>3950</v>
          </cell>
          <cell r="T330">
            <v>4464</v>
          </cell>
          <cell r="W330">
            <v>3303</v>
          </cell>
          <cell r="DN330">
            <v>284307</v>
          </cell>
          <cell r="DO330">
            <v>330</v>
          </cell>
        </row>
        <row r="331">
          <cell r="A331" t="str">
            <v>Spokane, WA Metro Area</v>
          </cell>
          <cell r="B331">
            <v>7654</v>
          </cell>
          <cell r="C331">
            <v>44608</v>
          </cell>
          <cell r="D331">
            <v>53303</v>
          </cell>
          <cell r="E331">
            <v>53093</v>
          </cell>
          <cell r="F331">
            <v>49163</v>
          </cell>
          <cell r="G331">
            <v>27099</v>
          </cell>
          <cell r="H331">
            <v>32561</v>
          </cell>
          <cell r="I331">
            <v>32949</v>
          </cell>
          <cell r="J331">
            <v>17760</v>
          </cell>
          <cell r="K331">
            <v>26462</v>
          </cell>
          <cell r="L331">
            <v>18686</v>
          </cell>
          <cell r="M331">
            <v>26914</v>
          </cell>
          <cell r="N331">
            <v>12591</v>
          </cell>
          <cell r="O331">
            <v>21969</v>
          </cell>
          <cell r="Q331">
            <v>29097</v>
          </cell>
          <cell r="V331">
            <v>7461</v>
          </cell>
          <cell r="W331">
            <v>4046</v>
          </cell>
          <cell r="X331">
            <v>5805</v>
          </cell>
          <cell r="DN331">
            <v>471221</v>
          </cell>
          <cell r="DO331">
            <v>331</v>
          </cell>
        </row>
        <row r="332">
          <cell r="A332" t="str">
            <v>Springfield, IL Metro Area</v>
          </cell>
          <cell r="B332">
            <v>11111</v>
          </cell>
          <cell r="C332">
            <v>37356</v>
          </cell>
          <cell r="D332">
            <v>29361</v>
          </cell>
          <cell r="E332">
            <v>24186</v>
          </cell>
          <cell r="F332">
            <v>16549</v>
          </cell>
          <cell r="G332">
            <v>13208</v>
          </cell>
          <cell r="H332">
            <v>19676</v>
          </cell>
          <cell r="I332">
            <v>11074</v>
          </cell>
          <cell r="J332">
            <v>4430</v>
          </cell>
          <cell r="K332">
            <v>9783</v>
          </cell>
          <cell r="O332">
            <v>5085</v>
          </cell>
          <cell r="P332">
            <v>15495</v>
          </cell>
          <cell r="R332">
            <v>6290</v>
          </cell>
          <cell r="S332">
            <v>4073</v>
          </cell>
          <cell r="T332">
            <v>2493</v>
          </cell>
          <cell r="DN332">
            <v>210170</v>
          </cell>
          <cell r="DO332">
            <v>332</v>
          </cell>
        </row>
        <row r="333">
          <cell r="A333" t="str">
            <v>Springfield, MA Metro Area</v>
          </cell>
          <cell r="B333">
            <v>18734</v>
          </cell>
          <cell r="C333">
            <v>63216</v>
          </cell>
          <cell r="D333">
            <v>40724</v>
          </cell>
          <cell r="E333">
            <v>68507</v>
          </cell>
          <cell r="F333">
            <v>47825</v>
          </cell>
          <cell r="G333">
            <v>46167</v>
          </cell>
          <cell r="H333">
            <v>33872</v>
          </cell>
          <cell r="I333">
            <v>52518</v>
          </cell>
          <cell r="J333">
            <v>28961</v>
          </cell>
          <cell r="K333">
            <v>27285</v>
          </cell>
          <cell r="L333">
            <v>19511</v>
          </cell>
          <cell r="M333">
            <v>21068</v>
          </cell>
          <cell r="N333">
            <v>13077</v>
          </cell>
          <cell r="P333">
            <v>24394</v>
          </cell>
          <cell r="Q333">
            <v>21431</v>
          </cell>
          <cell r="R333">
            <v>19734</v>
          </cell>
          <cell r="S333">
            <v>12762</v>
          </cell>
          <cell r="T333">
            <v>4509</v>
          </cell>
          <cell r="U333">
            <v>21100</v>
          </cell>
          <cell r="V333">
            <v>17719</v>
          </cell>
          <cell r="W333">
            <v>10501</v>
          </cell>
          <cell r="X333">
            <v>3536</v>
          </cell>
          <cell r="Y333">
            <v>1222</v>
          </cell>
          <cell r="Z333">
            <v>5180</v>
          </cell>
          <cell r="AB333">
            <v>4612</v>
          </cell>
          <cell r="AC333">
            <v>5125</v>
          </cell>
          <cell r="AD333">
            <v>3197</v>
          </cell>
          <cell r="AE333">
            <v>3634</v>
          </cell>
          <cell r="AH333">
            <v>4224</v>
          </cell>
          <cell r="AI333">
            <v>7426</v>
          </cell>
          <cell r="AJ333">
            <v>10972</v>
          </cell>
          <cell r="AK333">
            <v>10494</v>
          </cell>
          <cell r="AL333">
            <v>4264</v>
          </cell>
          <cell r="AM333">
            <v>3575</v>
          </cell>
          <cell r="AO333">
            <v>4340</v>
          </cell>
          <cell r="AP333">
            <v>7526</v>
          </cell>
          <cell r="DN333">
            <v>692942</v>
          </cell>
          <cell r="DO333">
            <v>333</v>
          </cell>
        </row>
        <row r="334">
          <cell r="A334" t="str">
            <v>Springfield, MO Metro Area</v>
          </cell>
          <cell r="B334">
            <v>8586</v>
          </cell>
          <cell r="C334">
            <v>39856</v>
          </cell>
          <cell r="D334">
            <v>32373</v>
          </cell>
          <cell r="E334">
            <v>36388</v>
          </cell>
          <cell r="F334">
            <v>39862</v>
          </cell>
          <cell r="G334">
            <v>18002</v>
          </cell>
          <cell r="H334">
            <v>29745</v>
          </cell>
          <cell r="I334">
            <v>13043</v>
          </cell>
          <cell r="J334">
            <v>16441</v>
          </cell>
          <cell r="L334">
            <v>23734</v>
          </cell>
          <cell r="M334">
            <v>38926</v>
          </cell>
          <cell r="N334">
            <v>9126</v>
          </cell>
          <cell r="O334">
            <v>6196</v>
          </cell>
          <cell r="P334">
            <v>8810</v>
          </cell>
          <cell r="Q334">
            <v>10422</v>
          </cell>
          <cell r="R334">
            <v>5074</v>
          </cell>
          <cell r="S334">
            <v>6609</v>
          </cell>
          <cell r="T334">
            <v>7628</v>
          </cell>
          <cell r="U334">
            <v>5616</v>
          </cell>
          <cell r="W334">
            <v>22565</v>
          </cell>
          <cell r="Y334">
            <v>9748</v>
          </cell>
          <cell r="Z334">
            <v>9400</v>
          </cell>
          <cell r="AA334">
            <v>6855</v>
          </cell>
          <cell r="AD334">
            <v>4713</v>
          </cell>
          <cell r="AE334">
            <v>3773</v>
          </cell>
          <cell r="AG334">
            <v>12207</v>
          </cell>
          <cell r="AK334">
            <v>6290</v>
          </cell>
          <cell r="AQ334">
            <v>4724</v>
          </cell>
          <cell r="DN334">
            <v>436712</v>
          </cell>
          <cell r="DO334">
            <v>334</v>
          </cell>
        </row>
        <row r="335">
          <cell r="A335" t="str">
            <v>Springfield, OH Metro Area</v>
          </cell>
          <cell r="B335">
            <v>16166</v>
          </cell>
          <cell r="C335">
            <v>29915</v>
          </cell>
          <cell r="D335">
            <v>19335</v>
          </cell>
          <cell r="E335">
            <v>11455</v>
          </cell>
          <cell r="G335">
            <v>18165</v>
          </cell>
          <cell r="H335">
            <v>3858</v>
          </cell>
          <cell r="I335">
            <v>6527</v>
          </cell>
          <cell r="J335">
            <v>2517</v>
          </cell>
          <cell r="K335">
            <v>10540</v>
          </cell>
          <cell r="M335">
            <v>12939</v>
          </cell>
          <cell r="N335">
            <v>6916</v>
          </cell>
          <cell r="DN335">
            <v>138333</v>
          </cell>
          <cell r="DO335">
            <v>335</v>
          </cell>
        </row>
        <row r="336">
          <cell r="A336" t="str">
            <v>State College, PA Metro Area</v>
          </cell>
          <cell r="B336">
            <v>37148</v>
          </cell>
          <cell r="C336">
            <v>21291</v>
          </cell>
          <cell r="D336">
            <v>12519</v>
          </cell>
          <cell r="E336">
            <v>6881</v>
          </cell>
          <cell r="F336">
            <v>11590</v>
          </cell>
          <cell r="G336">
            <v>1999</v>
          </cell>
          <cell r="H336">
            <v>4189</v>
          </cell>
          <cell r="J336">
            <v>15454</v>
          </cell>
          <cell r="K336">
            <v>6187</v>
          </cell>
          <cell r="M336">
            <v>7187</v>
          </cell>
          <cell r="N336">
            <v>4108</v>
          </cell>
          <cell r="Q336">
            <v>5657</v>
          </cell>
          <cell r="T336">
            <v>2950</v>
          </cell>
          <cell r="U336">
            <v>3598</v>
          </cell>
          <cell r="V336">
            <v>7600</v>
          </cell>
          <cell r="X336">
            <v>5632</v>
          </cell>
          <cell r="DN336">
            <v>153990</v>
          </cell>
          <cell r="DO336">
            <v>336</v>
          </cell>
        </row>
        <row r="337">
          <cell r="A337" t="str">
            <v>Steubenville-Weirton, OH-WV Metro Area</v>
          </cell>
          <cell r="B337">
            <v>9208</v>
          </cell>
          <cell r="C337">
            <v>1504</v>
          </cell>
          <cell r="D337">
            <v>22729</v>
          </cell>
          <cell r="E337">
            <v>5728</v>
          </cell>
          <cell r="F337">
            <v>8094</v>
          </cell>
          <cell r="G337">
            <v>22320</v>
          </cell>
          <cell r="H337">
            <v>6216</v>
          </cell>
          <cell r="I337">
            <v>2076</v>
          </cell>
          <cell r="J337">
            <v>8167</v>
          </cell>
          <cell r="K337">
            <v>6573</v>
          </cell>
          <cell r="L337">
            <v>9011</v>
          </cell>
          <cell r="N337">
            <v>5315</v>
          </cell>
          <cell r="O337">
            <v>2272</v>
          </cell>
          <cell r="P337">
            <v>1791</v>
          </cell>
          <cell r="R337">
            <v>8831</v>
          </cell>
          <cell r="S337">
            <v>4619</v>
          </cell>
          <cell r="DN337">
            <v>124454</v>
          </cell>
          <cell r="DO337">
            <v>337</v>
          </cell>
        </row>
        <row r="338">
          <cell r="A338" t="str">
            <v>Stockton, CA Metro Area</v>
          </cell>
          <cell r="B338">
            <v>16633</v>
          </cell>
          <cell r="C338">
            <v>56553</v>
          </cell>
          <cell r="D338">
            <v>67693</v>
          </cell>
          <cell r="E338">
            <v>63053</v>
          </cell>
          <cell r="F338">
            <v>70971</v>
          </cell>
          <cell r="G338">
            <v>39265</v>
          </cell>
          <cell r="H338">
            <v>27286</v>
          </cell>
          <cell r="I338">
            <v>18789</v>
          </cell>
          <cell r="J338">
            <v>7259</v>
          </cell>
          <cell r="K338">
            <v>22086</v>
          </cell>
          <cell r="L338">
            <v>33549</v>
          </cell>
          <cell r="M338">
            <v>47959</v>
          </cell>
          <cell r="N338">
            <v>45565</v>
          </cell>
          <cell r="O338">
            <v>11501</v>
          </cell>
          <cell r="P338">
            <v>6017</v>
          </cell>
          <cell r="Q338">
            <v>13002</v>
          </cell>
          <cell r="R338">
            <v>27242</v>
          </cell>
          <cell r="S338">
            <v>37287</v>
          </cell>
          <cell r="T338">
            <v>49434</v>
          </cell>
          <cell r="U338">
            <v>22356</v>
          </cell>
          <cell r="V338">
            <v>1806</v>
          </cell>
          <cell r="DN338">
            <v>685306</v>
          </cell>
          <cell r="DO338">
            <v>338</v>
          </cell>
        </row>
        <row r="339">
          <cell r="A339" t="str">
            <v>Sumter, SC Metro Area</v>
          </cell>
          <cell r="B339">
            <v>6134</v>
          </cell>
          <cell r="C339">
            <v>18950</v>
          </cell>
          <cell r="D339">
            <v>13875</v>
          </cell>
          <cell r="E339">
            <v>6736</v>
          </cell>
          <cell r="F339">
            <v>4833</v>
          </cell>
          <cell r="G339">
            <v>4168</v>
          </cell>
          <cell r="H339">
            <v>22056</v>
          </cell>
          <cell r="I339">
            <v>6373</v>
          </cell>
          <cell r="J339">
            <v>9867</v>
          </cell>
          <cell r="K339">
            <v>4188</v>
          </cell>
          <cell r="M339">
            <v>4248</v>
          </cell>
          <cell r="Q339">
            <v>3679</v>
          </cell>
          <cell r="T339">
            <v>2349</v>
          </cell>
          <cell r="DN339">
            <v>107456</v>
          </cell>
          <cell r="DO339">
            <v>339</v>
          </cell>
        </row>
        <row r="340">
          <cell r="A340" t="str">
            <v>Syracuse, NY Metro Area</v>
          </cell>
          <cell r="B340">
            <v>24979</v>
          </cell>
          <cell r="C340">
            <v>67128</v>
          </cell>
          <cell r="D340">
            <v>51547</v>
          </cell>
          <cell r="E340">
            <v>56332</v>
          </cell>
          <cell r="F340">
            <v>32045</v>
          </cell>
          <cell r="G340">
            <v>28553</v>
          </cell>
          <cell r="H340">
            <v>33074</v>
          </cell>
          <cell r="I340">
            <v>32040</v>
          </cell>
          <cell r="J340">
            <v>21095</v>
          </cell>
          <cell r="K340">
            <v>46138</v>
          </cell>
          <cell r="L340">
            <v>8684</v>
          </cell>
          <cell r="M340">
            <v>17433</v>
          </cell>
          <cell r="N340">
            <v>21664</v>
          </cell>
          <cell r="O340">
            <v>14799</v>
          </cell>
          <cell r="P340">
            <v>11385</v>
          </cell>
          <cell r="Q340">
            <v>19196</v>
          </cell>
          <cell r="R340">
            <v>10156</v>
          </cell>
          <cell r="S340">
            <v>15135</v>
          </cell>
          <cell r="U340">
            <v>5244</v>
          </cell>
          <cell r="V340">
            <v>9122</v>
          </cell>
          <cell r="X340">
            <v>15841</v>
          </cell>
          <cell r="Y340">
            <v>13669</v>
          </cell>
          <cell r="Z340">
            <v>9606</v>
          </cell>
          <cell r="AA340">
            <v>7713</v>
          </cell>
          <cell r="AB340">
            <v>7235</v>
          </cell>
          <cell r="AC340">
            <v>14643</v>
          </cell>
          <cell r="AD340">
            <v>5197</v>
          </cell>
          <cell r="AE340">
            <v>1659</v>
          </cell>
          <cell r="AF340">
            <v>2856</v>
          </cell>
          <cell r="AG340">
            <v>6840</v>
          </cell>
          <cell r="AH340">
            <v>8241</v>
          </cell>
          <cell r="AI340">
            <v>17885</v>
          </cell>
          <cell r="AJ340">
            <v>7732</v>
          </cell>
          <cell r="AK340">
            <v>11227</v>
          </cell>
          <cell r="AP340">
            <v>3939</v>
          </cell>
          <cell r="AT340">
            <v>2545</v>
          </cell>
          <cell r="DN340">
            <v>662577</v>
          </cell>
          <cell r="DO340">
            <v>340</v>
          </cell>
        </row>
        <row r="341">
          <cell r="A341" t="str">
            <v>Tallahassee, FL Metro Area</v>
          </cell>
          <cell r="B341">
            <v>18973</v>
          </cell>
          <cell r="C341">
            <v>23155</v>
          </cell>
          <cell r="D341">
            <v>54371</v>
          </cell>
          <cell r="E341">
            <v>43457</v>
          </cell>
          <cell r="F341">
            <v>23510</v>
          </cell>
          <cell r="G341">
            <v>21439</v>
          </cell>
          <cell r="H341">
            <v>19778</v>
          </cell>
          <cell r="I341">
            <v>16540</v>
          </cell>
          <cell r="J341">
            <v>14952</v>
          </cell>
          <cell r="K341">
            <v>3342</v>
          </cell>
          <cell r="L341">
            <v>15390</v>
          </cell>
          <cell r="M341">
            <v>6611</v>
          </cell>
          <cell r="N341">
            <v>13100</v>
          </cell>
          <cell r="O341">
            <v>8867</v>
          </cell>
          <cell r="P341">
            <v>11026</v>
          </cell>
          <cell r="Q341">
            <v>4802</v>
          </cell>
          <cell r="R341">
            <v>8332</v>
          </cell>
          <cell r="U341">
            <v>18673</v>
          </cell>
          <cell r="V341">
            <v>6008</v>
          </cell>
          <cell r="W341">
            <v>3457</v>
          </cell>
          <cell r="Z341">
            <v>5885</v>
          </cell>
          <cell r="AA341">
            <v>10309</v>
          </cell>
          <cell r="AB341">
            <v>5276</v>
          </cell>
          <cell r="AD341">
            <v>4496</v>
          </cell>
          <cell r="AL341">
            <v>5664</v>
          </cell>
          <cell r="DN341">
            <v>367413</v>
          </cell>
          <cell r="DO341">
            <v>341</v>
          </cell>
        </row>
        <row r="342">
          <cell r="A342" t="str">
            <v>Tampa-St. Petersburg-Clearwater, FL Metro Area</v>
          </cell>
          <cell r="B342">
            <v>15922</v>
          </cell>
          <cell r="C342">
            <v>32000</v>
          </cell>
          <cell r="D342">
            <v>46773</v>
          </cell>
          <cell r="E342">
            <v>53141</v>
          </cell>
          <cell r="F342">
            <v>55679</v>
          </cell>
          <cell r="G342">
            <v>83711</v>
          </cell>
          <cell r="H342">
            <v>71480</v>
          </cell>
          <cell r="I342">
            <v>85939</v>
          </cell>
          <cell r="J342">
            <v>97054</v>
          </cell>
          <cell r="K342">
            <v>132933</v>
          </cell>
          <cell r="L342">
            <v>74477</v>
          </cell>
          <cell r="M342">
            <v>93763</v>
          </cell>
          <cell r="N342">
            <v>93088</v>
          </cell>
          <cell r="O342">
            <v>85357</v>
          </cell>
          <cell r="P342">
            <v>83050</v>
          </cell>
          <cell r="Q342">
            <v>116518</v>
          </cell>
          <cell r="R342">
            <v>150786</v>
          </cell>
          <cell r="S342">
            <v>153046</v>
          </cell>
          <cell r="T342">
            <v>174948</v>
          </cell>
          <cell r="U342">
            <v>166401</v>
          </cell>
          <cell r="V342">
            <v>162630</v>
          </cell>
          <cell r="W342">
            <v>95048</v>
          </cell>
          <cell r="X342">
            <v>105307</v>
          </cell>
          <cell r="Y342">
            <v>81888</v>
          </cell>
          <cell r="Z342">
            <v>71588</v>
          </cell>
          <cell r="AA342">
            <v>35263</v>
          </cell>
          <cell r="AB342">
            <v>40520</v>
          </cell>
          <cell r="AC342">
            <v>15247</v>
          </cell>
          <cell r="AD342">
            <v>37173</v>
          </cell>
          <cell r="AE342">
            <v>24698</v>
          </cell>
          <cell r="AF342">
            <v>21008</v>
          </cell>
          <cell r="AG342">
            <v>9688</v>
          </cell>
          <cell r="AH342">
            <v>21844</v>
          </cell>
          <cell r="AI342">
            <v>9670</v>
          </cell>
          <cell r="AJ342">
            <v>12684</v>
          </cell>
          <cell r="AK342">
            <v>26907</v>
          </cell>
          <cell r="AL342">
            <v>21615</v>
          </cell>
          <cell r="AM342">
            <v>27372</v>
          </cell>
          <cell r="AN342">
            <v>24909</v>
          </cell>
          <cell r="AO342">
            <v>16681</v>
          </cell>
          <cell r="AQ342">
            <v>13980</v>
          </cell>
          <cell r="AR342">
            <v>23147</v>
          </cell>
          <cell r="AS342">
            <v>7758</v>
          </cell>
          <cell r="AV342">
            <v>7871</v>
          </cell>
          <cell r="AW342">
            <v>2681</v>
          </cell>
          <cell r="DN342">
            <v>2783243</v>
          </cell>
          <cell r="DO342">
            <v>342</v>
          </cell>
        </row>
        <row r="343">
          <cell r="A343" t="str">
            <v>Terre Haute, IN Metro Area</v>
          </cell>
          <cell r="B343">
            <v>7060</v>
          </cell>
          <cell r="C343">
            <v>23686</v>
          </cell>
          <cell r="D343">
            <v>13580</v>
          </cell>
          <cell r="E343">
            <v>11182</v>
          </cell>
          <cell r="F343">
            <v>19572</v>
          </cell>
          <cell r="G343">
            <v>3281</v>
          </cell>
          <cell r="H343">
            <v>9557</v>
          </cell>
          <cell r="I343">
            <v>10615</v>
          </cell>
          <cell r="J343">
            <v>5693</v>
          </cell>
          <cell r="L343">
            <v>3622</v>
          </cell>
          <cell r="N343">
            <v>2005</v>
          </cell>
          <cell r="O343">
            <v>9499</v>
          </cell>
          <cell r="Q343">
            <v>8600</v>
          </cell>
          <cell r="R343">
            <v>6163</v>
          </cell>
          <cell r="T343">
            <v>13025</v>
          </cell>
          <cell r="V343">
            <v>3653</v>
          </cell>
          <cell r="Z343">
            <v>2978</v>
          </cell>
          <cell r="AA343">
            <v>8551</v>
          </cell>
          <cell r="AC343">
            <v>2451</v>
          </cell>
          <cell r="AI343">
            <v>4296</v>
          </cell>
          <cell r="AM343">
            <v>3356</v>
          </cell>
          <cell r="DN343">
            <v>172425</v>
          </cell>
          <cell r="DO343">
            <v>343</v>
          </cell>
        </row>
        <row r="344">
          <cell r="A344" t="str">
            <v>Texarkana, TX-Texarkana, AR Metro Area</v>
          </cell>
          <cell r="B344">
            <v>6117</v>
          </cell>
          <cell r="C344">
            <v>18934</v>
          </cell>
          <cell r="D344">
            <v>19890</v>
          </cell>
          <cell r="E344">
            <v>6377</v>
          </cell>
          <cell r="F344">
            <v>21821</v>
          </cell>
          <cell r="G344">
            <v>6496</v>
          </cell>
          <cell r="H344">
            <v>8076</v>
          </cell>
          <cell r="I344">
            <v>5867</v>
          </cell>
          <cell r="L344">
            <v>7944</v>
          </cell>
          <cell r="O344">
            <v>8063</v>
          </cell>
          <cell r="P344">
            <v>5652</v>
          </cell>
          <cell r="R344">
            <v>2277</v>
          </cell>
          <cell r="X344">
            <v>2910</v>
          </cell>
          <cell r="Z344">
            <v>7910</v>
          </cell>
          <cell r="AF344">
            <v>2455</v>
          </cell>
          <cell r="AI344">
            <v>5238</v>
          </cell>
          <cell r="DN344">
            <v>136027</v>
          </cell>
          <cell r="DO344">
            <v>344</v>
          </cell>
        </row>
        <row r="345">
          <cell r="A345" t="str">
            <v>Toledo, OH Metro Area</v>
          </cell>
          <cell r="B345">
            <v>8304</v>
          </cell>
          <cell r="C345">
            <v>47435</v>
          </cell>
          <cell r="D345">
            <v>38319</v>
          </cell>
          <cell r="E345">
            <v>72511</v>
          </cell>
          <cell r="F345">
            <v>46960</v>
          </cell>
          <cell r="G345">
            <v>57658</v>
          </cell>
          <cell r="H345">
            <v>35286</v>
          </cell>
          <cell r="I345">
            <v>63534</v>
          </cell>
          <cell r="J345">
            <v>34871</v>
          </cell>
          <cell r="K345">
            <v>22790</v>
          </cell>
          <cell r="L345">
            <v>27191</v>
          </cell>
          <cell r="M345">
            <v>23377</v>
          </cell>
          <cell r="N345">
            <v>8928</v>
          </cell>
          <cell r="O345">
            <v>5555</v>
          </cell>
          <cell r="P345">
            <v>8741</v>
          </cell>
          <cell r="Q345">
            <v>1598</v>
          </cell>
          <cell r="R345">
            <v>5211</v>
          </cell>
          <cell r="S345">
            <v>12681</v>
          </cell>
          <cell r="U345">
            <v>20788</v>
          </cell>
          <cell r="V345">
            <v>16481</v>
          </cell>
          <cell r="W345">
            <v>11260</v>
          </cell>
          <cell r="X345">
            <v>8269</v>
          </cell>
          <cell r="Y345">
            <v>4056</v>
          </cell>
          <cell r="Z345">
            <v>10177</v>
          </cell>
          <cell r="AB345">
            <v>3315</v>
          </cell>
          <cell r="AC345">
            <v>4899</v>
          </cell>
          <cell r="AF345">
            <v>3520</v>
          </cell>
          <cell r="AG345">
            <v>7257</v>
          </cell>
          <cell r="AH345">
            <v>13570</v>
          </cell>
          <cell r="AI345">
            <v>8042</v>
          </cell>
          <cell r="AL345">
            <v>4231</v>
          </cell>
          <cell r="AN345">
            <v>2867</v>
          </cell>
          <cell r="AP345">
            <v>9446</v>
          </cell>
          <cell r="AQ345">
            <v>2301</v>
          </cell>
          <cell r="DN345">
            <v>651429</v>
          </cell>
          <cell r="DO345">
            <v>345</v>
          </cell>
        </row>
        <row r="346">
          <cell r="A346" t="str">
            <v>Topeka, KS Metro Area</v>
          </cell>
          <cell r="B346">
            <v>7921</v>
          </cell>
          <cell r="C346">
            <v>29796</v>
          </cell>
          <cell r="D346">
            <v>29126</v>
          </cell>
          <cell r="E346">
            <v>32456</v>
          </cell>
          <cell r="F346">
            <v>10595</v>
          </cell>
          <cell r="G346">
            <v>25836</v>
          </cell>
          <cell r="H346">
            <v>19536</v>
          </cell>
          <cell r="I346">
            <v>7468</v>
          </cell>
          <cell r="J346">
            <v>4351</v>
          </cell>
          <cell r="M346">
            <v>17027</v>
          </cell>
          <cell r="R346">
            <v>7646</v>
          </cell>
          <cell r="U346">
            <v>2893</v>
          </cell>
          <cell r="X346">
            <v>5389</v>
          </cell>
          <cell r="Y346">
            <v>8207</v>
          </cell>
          <cell r="Z346">
            <v>4068</v>
          </cell>
          <cell r="AB346">
            <v>4030</v>
          </cell>
          <cell r="AD346">
            <v>7877</v>
          </cell>
          <cell r="AE346">
            <v>3065</v>
          </cell>
          <cell r="AF346">
            <v>4509</v>
          </cell>
          <cell r="AI346">
            <v>2074</v>
          </cell>
          <cell r="DN346">
            <v>233870</v>
          </cell>
          <cell r="DO346">
            <v>346</v>
          </cell>
        </row>
        <row r="347">
          <cell r="A347" t="str">
            <v>Trenton-Ewing, NJ Metro Area</v>
          </cell>
          <cell r="B347">
            <v>28190</v>
          </cell>
          <cell r="C347">
            <v>66143</v>
          </cell>
          <cell r="D347">
            <v>48143</v>
          </cell>
          <cell r="E347">
            <v>34726</v>
          </cell>
          <cell r="F347">
            <v>30809</v>
          </cell>
          <cell r="G347">
            <v>26070</v>
          </cell>
          <cell r="H347">
            <v>14462</v>
          </cell>
          <cell r="I347">
            <v>16984</v>
          </cell>
          <cell r="J347">
            <v>18830</v>
          </cell>
          <cell r="K347">
            <v>20131</v>
          </cell>
          <cell r="L347">
            <v>23543</v>
          </cell>
          <cell r="M347">
            <v>12382</v>
          </cell>
          <cell r="N347">
            <v>18657</v>
          </cell>
          <cell r="P347">
            <v>7443</v>
          </cell>
          <cell r="DN347">
            <v>366513</v>
          </cell>
          <cell r="DO347">
            <v>347</v>
          </cell>
        </row>
        <row r="348">
          <cell r="A348" t="str">
            <v>Tucson, AZ Metro Area</v>
          </cell>
          <cell r="B348">
            <v>13940</v>
          </cell>
          <cell r="C348">
            <v>33511</v>
          </cell>
          <cell r="D348">
            <v>57285</v>
          </cell>
          <cell r="E348">
            <v>86069</v>
          </cell>
          <cell r="F348">
            <v>88923</v>
          </cell>
          <cell r="G348">
            <v>72111</v>
          </cell>
          <cell r="H348">
            <v>76608</v>
          </cell>
          <cell r="I348">
            <v>72218</v>
          </cell>
          <cell r="J348">
            <v>74999</v>
          </cell>
          <cell r="K348">
            <v>69286</v>
          </cell>
          <cell r="L348">
            <v>44439</v>
          </cell>
          <cell r="M348">
            <v>53676</v>
          </cell>
          <cell r="N348">
            <v>36648</v>
          </cell>
          <cell r="O348">
            <v>32054</v>
          </cell>
          <cell r="P348">
            <v>19490</v>
          </cell>
          <cell r="Q348">
            <v>14528</v>
          </cell>
          <cell r="R348">
            <v>26666</v>
          </cell>
          <cell r="S348">
            <v>17349</v>
          </cell>
          <cell r="U348">
            <v>8636</v>
          </cell>
          <cell r="V348">
            <v>9679</v>
          </cell>
          <cell r="W348">
            <v>19070</v>
          </cell>
          <cell r="Y348">
            <v>12392</v>
          </cell>
          <cell r="Z348">
            <v>16054</v>
          </cell>
          <cell r="AA348">
            <v>1695</v>
          </cell>
          <cell r="AC348">
            <v>6108</v>
          </cell>
          <cell r="AE348">
            <v>1681</v>
          </cell>
          <cell r="AG348">
            <v>852</v>
          </cell>
          <cell r="AH348">
            <v>3599</v>
          </cell>
          <cell r="BF348">
            <v>4462</v>
          </cell>
          <cell r="BM348">
            <v>1300</v>
          </cell>
          <cell r="CJ348">
            <v>1412</v>
          </cell>
          <cell r="CW348">
            <v>3523</v>
          </cell>
          <cell r="DN348">
            <v>980263</v>
          </cell>
          <cell r="DO348">
            <v>348</v>
          </cell>
        </row>
        <row r="349">
          <cell r="A349" t="str">
            <v>Tulsa, OK Metro Area</v>
          </cell>
          <cell r="B349">
            <v>3980</v>
          </cell>
          <cell r="C349">
            <v>32573</v>
          </cell>
          <cell r="D349">
            <v>34635</v>
          </cell>
          <cell r="E349">
            <v>33212</v>
          </cell>
          <cell r="F349">
            <v>49745</v>
          </cell>
          <cell r="G349">
            <v>49607</v>
          </cell>
          <cell r="H349">
            <v>52008</v>
          </cell>
          <cell r="I349">
            <v>42388</v>
          </cell>
          <cell r="J349">
            <v>60956</v>
          </cell>
          <cell r="K349">
            <v>44220</v>
          </cell>
          <cell r="L349">
            <v>38087</v>
          </cell>
          <cell r="M349">
            <v>62339</v>
          </cell>
          <cell r="N349">
            <v>41792</v>
          </cell>
          <cell r="O349">
            <v>63059</v>
          </cell>
          <cell r="P349">
            <v>40576</v>
          </cell>
          <cell r="Q349">
            <v>21349</v>
          </cell>
          <cell r="R349">
            <v>29543</v>
          </cell>
          <cell r="S349">
            <v>18783</v>
          </cell>
          <cell r="T349">
            <v>9624</v>
          </cell>
          <cell r="U349">
            <v>3120</v>
          </cell>
          <cell r="V349">
            <v>13168</v>
          </cell>
          <cell r="W349">
            <v>6763</v>
          </cell>
          <cell r="X349">
            <v>13028</v>
          </cell>
          <cell r="Y349">
            <v>19035</v>
          </cell>
          <cell r="Z349">
            <v>11761</v>
          </cell>
          <cell r="AA349">
            <v>6018</v>
          </cell>
          <cell r="AB349">
            <v>8866</v>
          </cell>
          <cell r="AC349">
            <v>6967</v>
          </cell>
          <cell r="AD349">
            <v>16745</v>
          </cell>
          <cell r="AE349">
            <v>5309</v>
          </cell>
          <cell r="AF349">
            <v>3317</v>
          </cell>
          <cell r="AG349">
            <v>6575</v>
          </cell>
          <cell r="AI349">
            <v>9405</v>
          </cell>
          <cell r="AJ349">
            <v>7957</v>
          </cell>
          <cell r="AK349">
            <v>3443</v>
          </cell>
          <cell r="AL349">
            <v>6261</v>
          </cell>
          <cell r="AM349">
            <v>16588</v>
          </cell>
          <cell r="AN349">
            <v>3204</v>
          </cell>
          <cell r="AO349">
            <v>10806</v>
          </cell>
          <cell r="AP349">
            <v>2165</v>
          </cell>
          <cell r="AR349">
            <v>6002</v>
          </cell>
          <cell r="AU349">
            <v>2731</v>
          </cell>
          <cell r="AV349">
            <v>5819</v>
          </cell>
          <cell r="AX349">
            <v>3097</v>
          </cell>
          <cell r="AY349">
            <v>4606</v>
          </cell>
          <cell r="BI349">
            <v>6246</v>
          </cell>
          <cell r="DN349">
            <v>937478</v>
          </cell>
          <cell r="DO349">
            <v>349</v>
          </cell>
        </row>
        <row r="350">
          <cell r="A350" t="str">
            <v>Tuscaloosa, AL Metro Area</v>
          </cell>
          <cell r="B350">
            <v>10138</v>
          </cell>
          <cell r="C350">
            <v>27970</v>
          </cell>
          <cell r="D350">
            <v>26524</v>
          </cell>
          <cell r="E350">
            <v>10189</v>
          </cell>
          <cell r="F350">
            <v>24119</v>
          </cell>
          <cell r="G350">
            <v>22007</v>
          </cell>
          <cell r="H350">
            <v>15877</v>
          </cell>
          <cell r="I350">
            <v>9845</v>
          </cell>
          <cell r="J350">
            <v>3721</v>
          </cell>
          <cell r="L350">
            <v>14252</v>
          </cell>
          <cell r="N350">
            <v>7603</v>
          </cell>
          <cell r="O350">
            <v>3043</v>
          </cell>
          <cell r="Q350">
            <v>6727</v>
          </cell>
          <cell r="R350">
            <v>3534</v>
          </cell>
          <cell r="T350">
            <v>2686</v>
          </cell>
          <cell r="Z350">
            <v>11537</v>
          </cell>
          <cell r="AF350">
            <v>7814</v>
          </cell>
          <cell r="AH350">
            <v>2093</v>
          </cell>
          <cell r="AL350">
            <v>5399</v>
          </cell>
          <cell r="AR350">
            <v>2821</v>
          </cell>
          <cell r="AV350">
            <v>1562</v>
          </cell>
          <cell r="DN350">
            <v>219461</v>
          </cell>
          <cell r="DO350">
            <v>350</v>
          </cell>
        </row>
        <row r="351">
          <cell r="A351" t="str">
            <v>Tyler, TX Metro Area</v>
          </cell>
          <cell r="B351">
            <v>7271</v>
          </cell>
          <cell r="C351">
            <v>28561</v>
          </cell>
          <cell r="D351">
            <v>16451</v>
          </cell>
          <cell r="E351">
            <v>4606</v>
          </cell>
          <cell r="F351">
            <v>31934</v>
          </cell>
          <cell r="G351">
            <v>37540</v>
          </cell>
          <cell r="H351">
            <v>5377</v>
          </cell>
          <cell r="K351">
            <v>5347</v>
          </cell>
          <cell r="L351">
            <v>7741</v>
          </cell>
          <cell r="M351">
            <v>13211</v>
          </cell>
          <cell r="N351">
            <v>21790</v>
          </cell>
          <cell r="O351">
            <v>5646</v>
          </cell>
          <cell r="P351">
            <v>11811</v>
          </cell>
          <cell r="Q351">
            <v>8375</v>
          </cell>
          <cell r="S351">
            <v>4053</v>
          </cell>
          <cell r="DN351">
            <v>209714</v>
          </cell>
          <cell r="DO351">
            <v>351</v>
          </cell>
        </row>
        <row r="352">
          <cell r="A352" t="str">
            <v>Utica-Rome, NY Metro Area</v>
          </cell>
          <cell r="B352">
            <v>20049</v>
          </cell>
          <cell r="C352">
            <v>30390</v>
          </cell>
          <cell r="D352">
            <v>21663</v>
          </cell>
          <cell r="E352">
            <v>14525</v>
          </cell>
          <cell r="F352">
            <v>17635</v>
          </cell>
          <cell r="G352">
            <v>7280</v>
          </cell>
          <cell r="H352">
            <v>15429</v>
          </cell>
          <cell r="I352">
            <v>4411</v>
          </cell>
          <cell r="J352">
            <v>3981</v>
          </cell>
          <cell r="K352">
            <v>6742</v>
          </cell>
          <cell r="L352">
            <v>14496</v>
          </cell>
          <cell r="M352">
            <v>8749</v>
          </cell>
          <cell r="N352">
            <v>4490</v>
          </cell>
          <cell r="O352">
            <v>35531</v>
          </cell>
          <cell r="P352">
            <v>21841</v>
          </cell>
          <cell r="Q352">
            <v>8932</v>
          </cell>
          <cell r="R352">
            <v>8396</v>
          </cell>
          <cell r="S352">
            <v>2970</v>
          </cell>
          <cell r="T352">
            <v>3071</v>
          </cell>
          <cell r="U352">
            <v>13866</v>
          </cell>
          <cell r="V352">
            <v>3516</v>
          </cell>
          <cell r="W352">
            <v>3383</v>
          </cell>
          <cell r="X352">
            <v>3217</v>
          </cell>
          <cell r="Y352">
            <v>2075</v>
          </cell>
          <cell r="AA352">
            <v>1535</v>
          </cell>
          <cell r="AB352">
            <v>8592</v>
          </cell>
          <cell r="AC352">
            <v>5440</v>
          </cell>
          <cell r="AG352">
            <v>4934</v>
          </cell>
          <cell r="AP352">
            <v>2258</v>
          </cell>
          <cell r="DN352">
            <v>299397</v>
          </cell>
          <cell r="DO352">
            <v>352</v>
          </cell>
        </row>
        <row r="353">
          <cell r="A353" t="str">
            <v>Valdosta, GA Metro Area</v>
          </cell>
          <cell r="B353">
            <v>5780</v>
          </cell>
          <cell r="C353">
            <v>20397</v>
          </cell>
          <cell r="D353">
            <v>15383</v>
          </cell>
          <cell r="E353">
            <v>8377</v>
          </cell>
          <cell r="F353">
            <v>11972</v>
          </cell>
          <cell r="G353">
            <v>3920</v>
          </cell>
          <cell r="H353">
            <v>3352</v>
          </cell>
          <cell r="I353">
            <v>8864</v>
          </cell>
          <cell r="J353">
            <v>23097</v>
          </cell>
          <cell r="L353">
            <v>8091</v>
          </cell>
          <cell r="M353">
            <v>5801</v>
          </cell>
          <cell r="O353">
            <v>2340</v>
          </cell>
          <cell r="R353">
            <v>6177</v>
          </cell>
          <cell r="S353">
            <v>8142</v>
          </cell>
          <cell r="T353">
            <v>1694</v>
          </cell>
          <cell r="V353">
            <v>4541</v>
          </cell>
          <cell r="AB353">
            <v>1660</v>
          </cell>
          <cell r="DN353">
            <v>139588</v>
          </cell>
          <cell r="DO353">
            <v>353</v>
          </cell>
        </row>
        <row r="354">
          <cell r="A354" t="str">
            <v>Vallejo-Fairfield, CA Metro Area</v>
          </cell>
          <cell r="B354">
            <v>14554</v>
          </cell>
          <cell r="C354">
            <v>26622</v>
          </cell>
          <cell r="D354">
            <v>28703</v>
          </cell>
          <cell r="E354">
            <v>42835</v>
          </cell>
          <cell r="F354">
            <v>7668</v>
          </cell>
          <cell r="G354">
            <v>9668</v>
          </cell>
          <cell r="H354">
            <v>10914</v>
          </cell>
          <cell r="I354">
            <v>3874</v>
          </cell>
          <cell r="J354">
            <v>9825</v>
          </cell>
          <cell r="L354">
            <v>8761</v>
          </cell>
          <cell r="O354">
            <v>4711</v>
          </cell>
          <cell r="P354">
            <v>5238</v>
          </cell>
          <cell r="Q354">
            <v>12807</v>
          </cell>
          <cell r="R354">
            <v>40494</v>
          </cell>
          <cell r="S354">
            <v>29882</v>
          </cell>
          <cell r="T354">
            <v>16444</v>
          </cell>
          <cell r="U354">
            <v>6839</v>
          </cell>
          <cell r="W354">
            <v>15712</v>
          </cell>
          <cell r="X354">
            <v>28266</v>
          </cell>
          <cell r="Y354">
            <v>23763</v>
          </cell>
          <cell r="Z354">
            <v>18980</v>
          </cell>
          <cell r="AA354">
            <v>8014</v>
          </cell>
          <cell r="AB354">
            <v>4368</v>
          </cell>
          <cell r="AC354">
            <v>4726</v>
          </cell>
          <cell r="AF354">
            <v>8423</v>
          </cell>
          <cell r="AH354">
            <v>7702</v>
          </cell>
          <cell r="AI354">
            <v>13551</v>
          </cell>
          <cell r="DN354">
            <v>413344</v>
          </cell>
          <cell r="DO354">
            <v>354</v>
          </cell>
        </row>
        <row r="355">
          <cell r="A355" t="str">
            <v>Victoria, TX Metro Area</v>
          </cell>
          <cell r="B355">
            <v>2215</v>
          </cell>
          <cell r="C355">
            <v>16504</v>
          </cell>
          <cell r="D355">
            <v>13167</v>
          </cell>
          <cell r="E355">
            <v>15689</v>
          </cell>
          <cell r="F355">
            <v>2121</v>
          </cell>
          <cell r="G355">
            <v>9996</v>
          </cell>
          <cell r="H355">
            <v>15545</v>
          </cell>
          <cell r="I355">
            <v>2156</v>
          </cell>
          <cell r="J355">
            <v>3180</v>
          </cell>
          <cell r="L355">
            <v>4292</v>
          </cell>
          <cell r="N355">
            <v>1928</v>
          </cell>
          <cell r="T355">
            <v>4054</v>
          </cell>
          <cell r="AA355">
            <v>11664</v>
          </cell>
          <cell r="AB355">
            <v>4375</v>
          </cell>
          <cell r="AD355">
            <v>3156</v>
          </cell>
          <cell r="AH355">
            <v>1454</v>
          </cell>
          <cell r="AJ355">
            <v>3888</v>
          </cell>
          <cell r="DN355">
            <v>115384</v>
          </cell>
          <cell r="DO355">
            <v>355</v>
          </cell>
        </row>
        <row r="356">
          <cell r="A356" t="str">
            <v>Vineland-Millville-Bridgeton, NJ Metro Area</v>
          </cell>
          <cell r="B356">
            <v>17028</v>
          </cell>
          <cell r="C356">
            <v>21567</v>
          </cell>
          <cell r="D356">
            <v>9457</v>
          </cell>
          <cell r="E356">
            <v>12672</v>
          </cell>
          <cell r="G356">
            <v>7807</v>
          </cell>
          <cell r="H356">
            <v>13592</v>
          </cell>
          <cell r="I356">
            <v>10120</v>
          </cell>
          <cell r="L356">
            <v>11746</v>
          </cell>
          <cell r="M356">
            <v>20354</v>
          </cell>
          <cell r="N356">
            <v>15672</v>
          </cell>
          <cell r="O356">
            <v>8658</v>
          </cell>
          <cell r="R356">
            <v>1585</v>
          </cell>
          <cell r="S356">
            <v>6640</v>
          </cell>
          <cell r="DN356">
            <v>156898</v>
          </cell>
          <cell r="DO356">
            <v>356</v>
          </cell>
        </row>
        <row r="357">
          <cell r="A357" t="str">
            <v>Virginia Beach-Norfolk-Newport News, VA-NC Metro Area</v>
          </cell>
          <cell r="C357">
            <v>31044</v>
          </cell>
          <cell r="E357">
            <v>47609</v>
          </cell>
          <cell r="F357">
            <v>45340</v>
          </cell>
          <cell r="G357">
            <v>43935</v>
          </cell>
          <cell r="H357">
            <v>64451</v>
          </cell>
          <cell r="I357">
            <v>61046</v>
          </cell>
          <cell r="J357">
            <v>80312</v>
          </cell>
          <cell r="K357">
            <v>52590</v>
          </cell>
          <cell r="L357">
            <v>62531</v>
          </cell>
          <cell r="M357">
            <v>79914</v>
          </cell>
          <cell r="N357">
            <v>45247</v>
          </cell>
          <cell r="O357">
            <v>36271</v>
          </cell>
          <cell r="P357">
            <v>60589</v>
          </cell>
          <cell r="Q357">
            <v>80082</v>
          </cell>
          <cell r="R357">
            <v>85871</v>
          </cell>
          <cell r="S357">
            <v>44721</v>
          </cell>
          <cell r="T357">
            <v>26652</v>
          </cell>
          <cell r="U357">
            <v>15204</v>
          </cell>
          <cell r="V357">
            <v>36999</v>
          </cell>
          <cell r="W357">
            <v>18194</v>
          </cell>
          <cell r="X357">
            <v>5491</v>
          </cell>
          <cell r="Y357">
            <v>13772</v>
          </cell>
          <cell r="Z357">
            <v>26896</v>
          </cell>
          <cell r="AA357">
            <v>52439</v>
          </cell>
          <cell r="AB357">
            <v>37253</v>
          </cell>
          <cell r="AC357">
            <v>37162</v>
          </cell>
          <cell r="AD357">
            <v>26582</v>
          </cell>
          <cell r="AE357">
            <v>34183</v>
          </cell>
          <cell r="AF357">
            <v>28721</v>
          </cell>
          <cell r="AG357">
            <v>29330</v>
          </cell>
          <cell r="AH357">
            <v>30635</v>
          </cell>
          <cell r="AI357">
            <v>27336</v>
          </cell>
          <cell r="AJ357">
            <v>29290</v>
          </cell>
          <cell r="AK357">
            <v>10045</v>
          </cell>
          <cell r="AL357">
            <v>32067</v>
          </cell>
          <cell r="AM357">
            <v>18964</v>
          </cell>
          <cell r="AN357">
            <v>34150</v>
          </cell>
          <cell r="AO357">
            <v>5680</v>
          </cell>
          <cell r="AP357">
            <v>8864</v>
          </cell>
          <cell r="AQ357">
            <v>1455</v>
          </cell>
          <cell r="AR357">
            <v>15859</v>
          </cell>
          <cell r="AS357">
            <v>9585</v>
          </cell>
          <cell r="AT357">
            <v>4014</v>
          </cell>
          <cell r="AU357">
            <v>1344</v>
          </cell>
          <cell r="AV357">
            <v>2165</v>
          </cell>
          <cell r="AW357">
            <v>10140</v>
          </cell>
          <cell r="AX357">
            <v>4984</v>
          </cell>
          <cell r="AY357">
            <v>6979</v>
          </cell>
          <cell r="AZ357">
            <v>13763</v>
          </cell>
          <cell r="BA357">
            <v>16743</v>
          </cell>
          <cell r="BB357">
            <v>14954</v>
          </cell>
          <cell r="BC357">
            <v>11051</v>
          </cell>
          <cell r="BD357">
            <v>21187</v>
          </cell>
          <cell r="BF357">
            <v>8863</v>
          </cell>
          <cell r="BH357">
            <v>14310</v>
          </cell>
          <cell r="BK357">
            <v>6825</v>
          </cell>
          <cell r="DN357">
            <v>1671683</v>
          </cell>
          <cell r="DO357">
            <v>357</v>
          </cell>
        </row>
        <row r="358">
          <cell r="A358" t="str">
            <v>Visalia-Porterville, CA Metro Area</v>
          </cell>
          <cell r="B358">
            <v>14437</v>
          </cell>
          <cell r="C358">
            <v>39513</v>
          </cell>
          <cell r="D358">
            <v>49275</v>
          </cell>
          <cell r="E358">
            <v>20204</v>
          </cell>
          <cell r="F358">
            <v>10123</v>
          </cell>
          <cell r="G358">
            <v>21174</v>
          </cell>
          <cell r="I358">
            <v>12028</v>
          </cell>
          <cell r="J358">
            <v>35082</v>
          </cell>
          <cell r="K358">
            <v>30884</v>
          </cell>
          <cell r="L358">
            <v>3519</v>
          </cell>
          <cell r="M358">
            <v>2635</v>
          </cell>
          <cell r="N358">
            <v>11591</v>
          </cell>
          <cell r="O358">
            <v>15014</v>
          </cell>
          <cell r="P358">
            <v>21767</v>
          </cell>
          <cell r="Q358">
            <v>13429</v>
          </cell>
          <cell r="R358">
            <v>14858</v>
          </cell>
          <cell r="S358">
            <v>7837</v>
          </cell>
          <cell r="T358">
            <v>11588</v>
          </cell>
          <cell r="W358">
            <v>20747</v>
          </cell>
          <cell r="X358">
            <v>13045</v>
          </cell>
          <cell r="Y358">
            <v>14216</v>
          </cell>
          <cell r="Z358">
            <v>18882</v>
          </cell>
          <cell r="AA358">
            <v>12376</v>
          </cell>
          <cell r="AB358">
            <v>560</v>
          </cell>
          <cell r="AF358">
            <v>6628</v>
          </cell>
          <cell r="AG358">
            <v>7470</v>
          </cell>
          <cell r="AH358">
            <v>5615</v>
          </cell>
          <cell r="AI358">
            <v>7682</v>
          </cell>
          <cell r="DN358">
            <v>442179</v>
          </cell>
          <cell r="DO358">
            <v>358</v>
          </cell>
        </row>
        <row r="359">
          <cell r="A359" t="str">
            <v>Waco, TX Metro Area</v>
          </cell>
          <cell r="B359">
            <v>6347</v>
          </cell>
          <cell r="C359">
            <v>40784</v>
          </cell>
          <cell r="D359">
            <v>25050</v>
          </cell>
          <cell r="E359">
            <v>24995</v>
          </cell>
          <cell r="F359">
            <v>20284</v>
          </cell>
          <cell r="G359">
            <v>15412</v>
          </cell>
          <cell r="H359">
            <v>4968</v>
          </cell>
          <cell r="I359">
            <v>25771</v>
          </cell>
          <cell r="J359">
            <v>19057</v>
          </cell>
          <cell r="K359">
            <v>3689</v>
          </cell>
          <cell r="L359">
            <v>4012</v>
          </cell>
          <cell r="M359">
            <v>2614</v>
          </cell>
          <cell r="N359">
            <v>11688</v>
          </cell>
          <cell r="O359">
            <v>3690</v>
          </cell>
          <cell r="Q359">
            <v>13601</v>
          </cell>
          <cell r="R359">
            <v>6942</v>
          </cell>
          <cell r="U359">
            <v>6002</v>
          </cell>
          <cell r="DN359">
            <v>234906</v>
          </cell>
          <cell r="DO359">
            <v>359</v>
          </cell>
        </row>
        <row r="360">
          <cell r="A360" t="str">
            <v>Warner Robins, GA Metro Area</v>
          </cell>
          <cell r="B360">
            <v>5597</v>
          </cell>
          <cell r="C360">
            <v>15311</v>
          </cell>
          <cell r="D360">
            <v>23044</v>
          </cell>
          <cell r="E360">
            <v>8295</v>
          </cell>
          <cell r="F360">
            <v>17081</v>
          </cell>
          <cell r="G360">
            <v>8896</v>
          </cell>
          <cell r="H360">
            <v>32652</v>
          </cell>
          <cell r="I360">
            <v>7023</v>
          </cell>
          <cell r="M360">
            <v>13773</v>
          </cell>
          <cell r="P360">
            <v>4208</v>
          </cell>
          <cell r="S360">
            <v>4020</v>
          </cell>
          <cell r="DN360">
            <v>139900</v>
          </cell>
          <cell r="DO360">
            <v>360</v>
          </cell>
        </row>
        <row r="361">
          <cell r="A361" t="str">
            <v>Washington-Arlington-Alexandria, DC-VA-MD-WV Metro Area</v>
          </cell>
          <cell r="B361">
            <v>34402</v>
          </cell>
          <cell r="C361">
            <v>122164</v>
          </cell>
          <cell r="D361">
            <v>146207</v>
          </cell>
          <cell r="E361">
            <v>169518</v>
          </cell>
          <cell r="F361">
            <v>231608</v>
          </cell>
          <cell r="G361">
            <v>256449</v>
          </cell>
          <cell r="H361">
            <v>225165</v>
          </cell>
          <cell r="I361">
            <v>282400</v>
          </cell>
          <cell r="J361">
            <v>229249</v>
          </cell>
          <cell r="K361">
            <v>200156</v>
          </cell>
          <cell r="L361">
            <v>208435</v>
          </cell>
          <cell r="M361">
            <v>211243</v>
          </cell>
          <cell r="N361">
            <v>219518</v>
          </cell>
          <cell r="O361">
            <v>163426</v>
          </cell>
          <cell r="P361">
            <v>180911</v>
          </cell>
          <cell r="Q361">
            <v>158593</v>
          </cell>
          <cell r="R361">
            <v>149447</v>
          </cell>
          <cell r="S361">
            <v>134806</v>
          </cell>
          <cell r="T361">
            <v>135299</v>
          </cell>
          <cell r="U361">
            <v>139587</v>
          </cell>
          <cell r="V361">
            <v>172495</v>
          </cell>
          <cell r="W361">
            <v>148853</v>
          </cell>
          <cell r="X361">
            <v>119505</v>
          </cell>
          <cell r="Y361">
            <v>126584</v>
          </cell>
          <cell r="Z361">
            <v>64852</v>
          </cell>
          <cell r="AA361">
            <v>126087</v>
          </cell>
          <cell r="AB361">
            <v>123350</v>
          </cell>
          <cell r="AC361">
            <v>101047</v>
          </cell>
          <cell r="AD361">
            <v>37313</v>
          </cell>
          <cell r="AE361">
            <v>28845</v>
          </cell>
          <cell r="AF361">
            <v>54674</v>
          </cell>
          <cell r="AG361">
            <v>42977</v>
          </cell>
          <cell r="AH361">
            <v>35644</v>
          </cell>
          <cell r="AI361">
            <v>36429</v>
          </cell>
          <cell r="AJ361">
            <v>37092</v>
          </cell>
          <cell r="AK361">
            <v>19251</v>
          </cell>
          <cell r="AL361">
            <v>33255</v>
          </cell>
          <cell r="AM361">
            <v>24241</v>
          </cell>
          <cell r="AN361">
            <v>28543</v>
          </cell>
          <cell r="AO361">
            <v>46818</v>
          </cell>
          <cell r="AP361">
            <v>42012</v>
          </cell>
          <cell r="AQ361">
            <v>29529</v>
          </cell>
          <cell r="AR361">
            <v>37671</v>
          </cell>
          <cell r="AS361">
            <v>56527</v>
          </cell>
          <cell r="AT361">
            <v>43118</v>
          </cell>
          <cell r="AU361">
            <v>14665</v>
          </cell>
          <cell r="AV361">
            <v>25459</v>
          </cell>
          <cell r="AW361">
            <v>45426</v>
          </cell>
          <cell r="AX361">
            <v>20662</v>
          </cell>
          <cell r="AY361">
            <v>22823</v>
          </cell>
          <cell r="AZ361">
            <v>28453</v>
          </cell>
          <cell r="BA361">
            <v>27228</v>
          </cell>
          <cell r="BB361">
            <v>34739</v>
          </cell>
          <cell r="BC361">
            <v>35939</v>
          </cell>
          <cell r="BD361">
            <v>19337</v>
          </cell>
          <cell r="BE361">
            <v>9884</v>
          </cell>
          <cell r="BF361">
            <v>15715</v>
          </cell>
          <cell r="BG361">
            <v>12653</v>
          </cell>
          <cell r="BH361">
            <v>10174</v>
          </cell>
          <cell r="BJ361">
            <v>8448</v>
          </cell>
          <cell r="BL361">
            <v>7479</v>
          </cell>
          <cell r="BM361">
            <v>7530</v>
          </cell>
          <cell r="BN361">
            <v>3785</v>
          </cell>
          <cell r="BO361">
            <v>3214</v>
          </cell>
          <cell r="BP361">
            <v>6393</v>
          </cell>
          <cell r="BQ361">
            <v>3426</v>
          </cell>
          <cell r="BR361">
            <v>3443</v>
          </cell>
          <cell r="DN361">
            <v>5582170</v>
          </cell>
          <cell r="DO361">
            <v>361</v>
          </cell>
        </row>
        <row r="362">
          <cell r="A362" t="str">
            <v>Waterloo-Cedar Falls, IA Metro Area</v>
          </cell>
          <cell r="B362">
            <v>8092</v>
          </cell>
          <cell r="C362">
            <v>25301</v>
          </cell>
          <cell r="D362">
            <v>21724</v>
          </cell>
          <cell r="E362">
            <v>12360</v>
          </cell>
          <cell r="F362">
            <v>16185</v>
          </cell>
          <cell r="G362">
            <v>10447</v>
          </cell>
          <cell r="H362">
            <v>12093</v>
          </cell>
          <cell r="I362">
            <v>14183</v>
          </cell>
          <cell r="J362">
            <v>3795</v>
          </cell>
          <cell r="K362">
            <v>3010</v>
          </cell>
          <cell r="N362">
            <v>8776</v>
          </cell>
          <cell r="P362">
            <v>1892</v>
          </cell>
          <cell r="Q362">
            <v>4474</v>
          </cell>
          <cell r="R362">
            <v>3909</v>
          </cell>
          <cell r="S362">
            <v>6205</v>
          </cell>
          <cell r="V362">
            <v>2824</v>
          </cell>
          <cell r="Z362">
            <v>5470</v>
          </cell>
          <cell r="AA362">
            <v>2874</v>
          </cell>
          <cell r="AC362">
            <v>2058</v>
          </cell>
          <cell r="AH362">
            <v>2147</v>
          </cell>
          <cell r="DN362">
            <v>167819</v>
          </cell>
          <cell r="DO362">
            <v>362</v>
          </cell>
        </row>
        <row r="363">
          <cell r="A363" t="str">
            <v>Wausau, WI Metro Area</v>
          </cell>
          <cell r="B363">
            <v>14422</v>
          </cell>
          <cell r="C363">
            <v>20950</v>
          </cell>
          <cell r="E363">
            <v>9051</v>
          </cell>
          <cell r="F363">
            <v>25640</v>
          </cell>
          <cell r="G363">
            <v>7760</v>
          </cell>
          <cell r="K363">
            <v>8096</v>
          </cell>
          <cell r="M363">
            <v>5321</v>
          </cell>
          <cell r="N363">
            <v>6057</v>
          </cell>
          <cell r="O363">
            <v>5933</v>
          </cell>
          <cell r="S363">
            <v>5449</v>
          </cell>
          <cell r="T363">
            <v>10865</v>
          </cell>
          <cell r="Y363">
            <v>3839</v>
          </cell>
          <cell r="AF363">
            <v>3490</v>
          </cell>
          <cell r="AI363">
            <v>7190</v>
          </cell>
          <cell r="DN363">
            <v>134063</v>
          </cell>
          <cell r="DO363">
            <v>363</v>
          </cell>
        </row>
        <row r="364">
          <cell r="A364" t="str">
            <v>Wenatchee-East Wenatchee, WA Metro Area</v>
          </cell>
          <cell r="B364">
            <v>6800</v>
          </cell>
          <cell r="C364">
            <v>44505</v>
          </cell>
          <cell r="D364">
            <v>7858</v>
          </cell>
          <cell r="F364">
            <v>9512</v>
          </cell>
          <cell r="G364">
            <v>3762</v>
          </cell>
          <cell r="K364">
            <v>4064</v>
          </cell>
          <cell r="N364">
            <v>6831</v>
          </cell>
          <cell r="U364">
            <v>2224</v>
          </cell>
          <cell r="X364">
            <v>2369</v>
          </cell>
          <cell r="Y364">
            <v>6251</v>
          </cell>
          <cell r="AH364">
            <v>6396</v>
          </cell>
          <cell r="AI364">
            <v>3813</v>
          </cell>
          <cell r="AQ364">
            <v>6499</v>
          </cell>
          <cell r="DN364">
            <v>110884</v>
          </cell>
          <cell r="DO364">
            <v>364</v>
          </cell>
        </row>
        <row r="365">
          <cell r="A365" t="str">
            <v>Wheeling, WV-OH Metro Area</v>
          </cell>
          <cell r="B365">
            <v>4321</v>
          </cell>
          <cell r="C365">
            <v>13328</v>
          </cell>
          <cell r="D365">
            <v>16968</v>
          </cell>
          <cell r="E365">
            <v>16545</v>
          </cell>
          <cell r="F365">
            <v>10593</v>
          </cell>
          <cell r="G365">
            <v>7363</v>
          </cell>
          <cell r="H365">
            <v>4019</v>
          </cell>
          <cell r="I365">
            <v>6248</v>
          </cell>
          <cell r="J365">
            <v>15449</v>
          </cell>
          <cell r="K365">
            <v>4104</v>
          </cell>
          <cell r="L365">
            <v>12147</v>
          </cell>
          <cell r="N365">
            <v>6288</v>
          </cell>
          <cell r="P365">
            <v>5299</v>
          </cell>
          <cell r="Q365">
            <v>4741</v>
          </cell>
          <cell r="S365">
            <v>8721</v>
          </cell>
          <cell r="T365">
            <v>5018</v>
          </cell>
          <cell r="Y365">
            <v>6798</v>
          </cell>
          <cell r="DN365">
            <v>147950</v>
          </cell>
          <cell r="DO365">
            <v>365</v>
          </cell>
        </row>
        <row r="366">
          <cell r="A366" t="str">
            <v>Wichita, KS Metro Area</v>
          </cell>
          <cell r="B366">
            <v>4436</v>
          </cell>
          <cell r="C366">
            <v>37664</v>
          </cell>
          <cell r="D366">
            <v>56401</v>
          </cell>
          <cell r="E366">
            <v>66736</v>
          </cell>
          <cell r="F366">
            <v>51324</v>
          </cell>
          <cell r="G366">
            <v>43882</v>
          </cell>
          <cell r="H366">
            <v>68429</v>
          </cell>
          <cell r="I366">
            <v>54440</v>
          </cell>
          <cell r="J366">
            <v>19705</v>
          </cell>
          <cell r="K366">
            <v>30124</v>
          </cell>
          <cell r="L366">
            <v>35752</v>
          </cell>
          <cell r="M366">
            <v>7986</v>
          </cell>
          <cell r="N366">
            <v>9167</v>
          </cell>
          <cell r="O366">
            <v>10159</v>
          </cell>
          <cell r="P366">
            <v>7970</v>
          </cell>
          <cell r="Q366">
            <v>2699</v>
          </cell>
          <cell r="R366">
            <v>4144</v>
          </cell>
          <cell r="S366">
            <v>3972</v>
          </cell>
          <cell r="T366">
            <v>15198</v>
          </cell>
          <cell r="U366">
            <v>3114</v>
          </cell>
          <cell r="V366">
            <v>11260</v>
          </cell>
          <cell r="W366">
            <v>3652</v>
          </cell>
          <cell r="X366">
            <v>7176</v>
          </cell>
          <cell r="Y366">
            <v>14137</v>
          </cell>
          <cell r="AA366">
            <v>15451</v>
          </cell>
          <cell r="AB366">
            <v>5441</v>
          </cell>
          <cell r="AC366">
            <v>2559</v>
          </cell>
          <cell r="AD366">
            <v>3883</v>
          </cell>
          <cell r="AE366">
            <v>8676</v>
          </cell>
          <cell r="AF366">
            <v>6387</v>
          </cell>
          <cell r="AG366">
            <v>6253</v>
          </cell>
          <cell r="AH366">
            <v>2316</v>
          </cell>
          <cell r="AT366">
            <v>2568</v>
          </cell>
          <cell r="DN366">
            <v>623061</v>
          </cell>
          <cell r="DO366">
            <v>366</v>
          </cell>
        </row>
        <row r="367">
          <cell r="A367" t="str">
            <v>Wichita Falls, TX Metro Area</v>
          </cell>
          <cell r="B367">
            <v>6974</v>
          </cell>
          <cell r="C367">
            <v>11814</v>
          </cell>
          <cell r="D367">
            <v>14771</v>
          </cell>
          <cell r="E367">
            <v>26513</v>
          </cell>
          <cell r="F367">
            <v>26122</v>
          </cell>
          <cell r="G367">
            <v>15173</v>
          </cell>
          <cell r="H367">
            <v>7312</v>
          </cell>
          <cell r="I367">
            <v>2660</v>
          </cell>
          <cell r="L367">
            <v>5789</v>
          </cell>
          <cell r="M367">
            <v>9638</v>
          </cell>
          <cell r="N367">
            <v>3697</v>
          </cell>
          <cell r="O367">
            <v>5595</v>
          </cell>
          <cell r="S367">
            <v>2780</v>
          </cell>
          <cell r="T367">
            <v>3250</v>
          </cell>
          <cell r="X367">
            <v>3614</v>
          </cell>
          <cell r="AA367">
            <v>5604</v>
          </cell>
          <cell r="DN367">
            <v>151306</v>
          </cell>
          <cell r="DO367">
            <v>367</v>
          </cell>
        </row>
        <row r="368">
          <cell r="A368" t="str">
            <v>Williamsport, PA Metro Area</v>
          </cell>
          <cell r="B368">
            <v>21037</v>
          </cell>
          <cell r="C368">
            <v>10348</v>
          </cell>
          <cell r="D368">
            <v>16606</v>
          </cell>
          <cell r="E368">
            <v>6619</v>
          </cell>
          <cell r="F368">
            <v>4615</v>
          </cell>
          <cell r="H368">
            <v>5227</v>
          </cell>
          <cell r="I368">
            <v>12419</v>
          </cell>
          <cell r="J368">
            <v>5798</v>
          </cell>
          <cell r="L368">
            <v>6627</v>
          </cell>
          <cell r="N368">
            <v>7040</v>
          </cell>
          <cell r="O368">
            <v>5962</v>
          </cell>
          <cell r="P368">
            <v>6094</v>
          </cell>
          <cell r="S368">
            <v>2339</v>
          </cell>
          <cell r="U368">
            <v>1049</v>
          </cell>
          <cell r="V368">
            <v>4331</v>
          </cell>
          <cell r="DN368">
            <v>116111</v>
          </cell>
          <cell r="DO368">
            <v>368</v>
          </cell>
        </row>
        <row r="369">
          <cell r="A369" t="str">
            <v>Wilmington, NC Metro Area</v>
          </cell>
          <cell r="B369">
            <v>7643</v>
          </cell>
          <cell r="C369">
            <v>11417</v>
          </cell>
          <cell r="D369">
            <v>22391</v>
          </cell>
          <cell r="E369">
            <v>14787</v>
          </cell>
          <cell r="F369">
            <v>26647</v>
          </cell>
          <cell r="G369">
            <v>39146</v>
          </cell>
          <cell r="H369">
            <v>29870</v>
          </cell>
          <cell r="I369">
            <v>26188</v>
          </cell>
          <cell r="J369">
            <v>17153</v>
          </cell>
          <cell r="K369">
            <v>7904</v>
          </cell>
          <cell r="L369">
            <v>21234</v>
          </cell>
          <cell r="M369">
            <v>10922</v>
          </cell>
          <cell r="O369">
            <v>2665</v>
          </cell>
          <cell r="P369">
            <v>3048</v>
          </cell>
          <cell r="Q369">
            <v>20439</v>
          </cell>
          <cell r="R369">
            <v>2012</v>
          </cell>
          <cell r="U369">
            <v>2381</v>
          </cell>
          <cell r="V369">
            <v>8555</v>
          </cell>
          <cell r="W369">
            <v>8797</v>
          </cell>
          <cell r="X369">
            <v>12581</v>
          </cell>
          <cell r="Y369">
            <v>2149</v>
          </cell>
          <cell r="Z369">
            <v>9450</v>
          </cell>
          <cell r="AA369">
            <v>2742</v>
          </cell>
          <cell r="AB369">
            <v>3107</v>
          </cell>
          <cell r="AC369">
            <v>2231</v>
          </cell>
          <cell r="AD369">
            <v>3092</v>
          </cell>
          <cell r="AE369">
            <v>6591</v>
          </cell>
          <cell r="AF369">
            <v>9356</v>
          </cell>
          <cell r="AH369">
            <v>4175</v>
          </cell>
          <cell r="AJ369">
            <v>2502</v>
          </cell>
          <cell r="AL369">
            <v>4185</v>
          </cell>
          <cell r="AM369">
            <v>655</v>
          </cell>
          <cell r="AN369">
            <v>4412</v>
          </cell>
          <cell r="AP369">
            <v>4402</v>
          </cell>
          <cell r="AQ369">
            <v>1443</v>
          </cell>
          <cell r="AR369">
            <v>6043</v>
          </cell>
          <cell r="DN369">
            <v>362315</v>
          </cell>
          <cell r="DO369">
            <v>369</v>
          </cell>
        </row>
        <row r="370">
          <cell r="A370" t="str">
            <v>Winchester, VA-WV Metro Area</v>
          </cell>
          <cell r="B370">
            <v>15140</v>
          </cell>
          <cell r="C370">
            <v>12253</v>
          </cell>
          <cell r="D370">
            <v>14718</v>
          </cell>
          <cell r="E370">
            <v>11462</v>
          </cell>
          <cell r="F370">
            <v>4959</v>
          </cell>
          <cell r="G370">
            <v>14890</v>
          </cell>
          <cell r="H370">
            <v>7274</v>
          </cell>
          <cell r="I370">
            <v>4439</v>
          </cell>
          <cell r="J370">
            <v>3886</v>
          </cell>
          <cell r="L370">
            <v>6748</v>
          </cell>
          <cell r="M370">
            <v>8739</v>
          </cell>
          <cell r="U370">
            <v>5469</v>
          </cell>
          <cell r="W370">
            <v>5398</v>
          </cell>
          <cell r="AE370">
            <v>5311</v>
          </cell>
          <cell r="AF370">
            <v>3565</v>
          </cell>
          <cell r="AJ370">
            <v>4221</v>
          </cell>
          <cell r="DN370">
            <v>128472</v>
          </cell>
          <cell r="DO370">
            <v>370</v>
          </cell>
        </row>
        <row r="371">
          <cell r="A371" t="str">
            <v>Winston-Salem, NC Metro Area</v>
          </cell>
          <cell r="B371">
            <v>8427</v>
          </cell>
          <cell r="C371">
            <v>27300</v>
          </cell>
          <cell r="D371">
            <v>27986</v>
          </cell>
          <cell r="E371">
            <v>34946</v>
          </cell>
          <cell r="F371">
            <v>53235</v>
          </cell>
          <cell r="G371">
            <v>39814</v>
          </cell>
          <cell r="H371">
            <v>44888</v>
          </cell>
          <cell r="I371">
            <v>11020</v>
          </cell>
          <cell r="J371">
            <v>37455</v>
          </cell>
          <cell r="K371">
            <v>18380</v>
          </cell>
          <cell r="L371">
            <v>39884</v>
          </cell>
          <cell r="M371">
            <v>4236</v>
          </cell>
          <cell r="N371">
            <v>3099</v>
          </cell>
          <cell r="P371">
            <v>26598</v>
          </cell>
          <cell r="Q371">
            <v>14675</v>
          </cell>
          <cell r="R371">
            <v>5143</v>
          </cell>
          <cell r="S371">
            <v>5151</v>
          </cell>
          <cell r="U371">
            <v>9726</v>
          </cell>
          <cell r="W371">
            <v>8494</v>
          </cell>
          <cell r="X371">
            <v>3659</v>
          </cell>
          <cell r="Y371">
            <v>7130</v>
          </cell>
          <cell r="Z371">
            <v>24518</v>
          </cell>
          <cell r="AB371">
            <v>4732</v>
          </cell>
          <cell r="AC371">
            <v>4528</v>
          </cell>
          <cell r="AF371">
            <v>6729</v>
          </cell>
          <cell r="AI371">
            <v>5964</v>
          </cell>
          <cell r="DN371">
            <v>477717</v>
          </cell>
          <cell r="DO371">
            <v>371</v>
          </cell>
        </row>
        <row r="372">
          <cell r="A372" t="str">
            <v>Worcester, MA Metro Area</v>
          </cell>
          <cell r="B372">
            <v>34372</v>
          </cell>
          <cell r="C372">
            <v>63052</v>
          </cell>
          <cell r="D372">
            <v>56044</v>
          </cell>
          <cell r="E372">
            <v>33109</v>
          </cell>
          <cell r="F372">
            <v>37258</v>
          </cell>
          <cell r="G372">
            <v>34822</v>
          </cell>
          <cell r="H372">
            <v>30218</v>
          </cell>
          <cell r="I372">
            <v>18528</v>
          </cell>
          <cell r="J372">
            <v>12571</v>
          </cell>
          <cell r="K372">
            <v>43795</v>
          </cell>
          <cell r="L372">
            <v>12031</v>
          </cell>
          <cell r="M372">
            <v>36509</v>
          </cell>
          <cell r="N372">
            <v>34157</v>
          </cell>
          <cell r="O372">
            <v>8702</v>
          </cell>
          <cell r="P372">
            <v>28462</v>
          </cell>
          <cell r="Q372">
            <v>42260</v>
          </cell>
          <cell r="R372">
            <v>40112</v>
          </cell>
          <cell r="S372">
            <v>41149</v>
          </cell>
          <cell r="T372">
            <v>27979</v>
          </cell>
          <cell r="U372">
            <v>13371</v>
          </cell>
          <cell r="V372">
            <v>40916</v>
          </cell>
          <cell r="W372">
            <v>23758</v>
          </cell>
          <cell r="X372">
            <v>17239</v>
          </cell>
          <cell r="Y372">
            <v>23395</v>
          </cell>
          <cell r="Z372">
            <v>4591</v>
          </cell>
          <cell r="AA372">
            <v>8013</v>
          </cell>
          <cell r="AB372">
            <v>2916</v>
          </cell>
          <cell r="AC372">
            <v>6081</v>
          </cell>
          <cell r="AF372">
            <v>3703</v>
          </cell>
          <cell r="AG372">
            <v>12663</v>
          </cell>
          <cell r="AH372">
            <v>3558</v>
          </cell>
          <cell r="AI372">
            <v>3218</v>
          </cell>
          <cell r="DN372">
            <v>798552</v>
          </cell>
          <cell r="DO372">
            <v>372</v>
          </cell>
        </row>
        <row r="373">
          <cell r="A373" t="str">
            <v>Yakima, WA Metro Area</v>
          </cell>
          <cell r="B373">
            <v>22592</v>
          </cell>
          <cell r="C373">
            <v>21396</v>
          </cell>
          <cell r="D373">
            <v>35345</v>
          </cell>
          <cell r="E373">
            <v>17549</v>
          </cell>
          <cell r="F373">
            <v>18011</v>
          </cell>
          <cell r="G373">
            <v>13114</v>
          </cell>
          <cell r="H373">
            <v>9106</v>
          </cell>
          <cell r="K373">
            <v>9027</v>
          </cell>
          <cell r="M373">
            <v>19756</v>
          </cell>
          <cell r="O373">
            <v>4584</v>
          </cell>
          <cell r="Q373">
            <v>3682</v>
          </cell>
          <cell r="R373">
            <v>4430</v>
          </cell>
          <cell r="S373">
            <v>7745</v>
          </cell>
          <cell r="T373">
            <v>9534</v>
          </cell>
          <cell r="AA373">
            <v>7578</v>
          </cell>
          <cell r="AB373">
            <v>1950</v>
          </cell>
          <cell r="AF373">
            <v>17001</v>
          </cell>
          <cell r="AJ373">
            <v>7140</v>
          </cell>
          <cell r="AM373">
            <v>13691</v>
          </cell>
          <cell r="DN373">
            <v>243231</v>
          </cell>
          <cell r="DO373">
            <v>373</v>
          </cell>
        </row>
        <row r="374">
          <cell r="A374" t="str">
            <v>York-Hanover, PA Metro Area</v>
          </cell>
          <cell r="B374">
            <v>31775</v>
          </cell>
          <cell r="C374">
            <v>29138</v>
          </cell>
          <cell r="D374">
            <v>26158</v>
          </cell>
          <cell r="E374">
            <v>18067</v>
          </cell>
          <cell r="F374">
            <v>44977</v>
          </cell>
          <cell r="G374">
            <v>19930</v>
          </cell>
          <cell r="H374">
            <v>35423</v>
          </cell>
          <cell r="I374">
            <v>31551</v>
          </cell>
          <cell r="J374">
            <v>10780</v>
          </cell>
          <cell r="K374">
            <v>22294</v>
          </cell>
          <cell r="L374">
            <v>3929</v>
          </cell>
          <cell r="M374">
            <v>14915</v>
          </cell>
          <cell r="N374">
            <v>12369</v>
          </cell>
          <cell r="O374">
            <v>23743</v>
          </cell>
          <cell r="P374">
            <v>9948</v>
          </cell>
          <cell r="Q374">
            <v>16243</v>
          </cell>
          <cell r="R374">
            <v>21760</v>
          </cell>
          <cell r="S374">
            <v>20482</v>
          </cell>
          <cell r="T374">
            <v>12271</v>
          </cell>
          <cell r="U374">
            <v>17099</v>
          </cell>
          <cell r="V374">
            <v>3551</v>
          </cell>
          <cell r="W374">
            <v>3028</v>
          </cell>
          <cell r="Z374">
            <v>5541</v>
          </cell>
          <cell r="DN374">
            <v>434972</v>
          </cell>
          <cell r="DO374">
            <v>374</v>
          </cell>
        </row>
        <row r="375">
          <cell r="A375" t="str">
            <v>Youngstown-Warren-Boardman, OH-PA Metro Area</v>
          </cell>
          <cell r="B375">
            <v>3080</v>
          </cell>
          <cell r="C375">
            <v>17606</v>
          </cell>
          <cell r="D375">
            <v>34956</v>
          </cell>
          <cell r="E375">
            <v>47467</v>
          </cell>
          <cell r="F375">
            <v>41196</v>
          </cell>
          <cell r="G375">
            <v>36760</v>
          </cell>
          <cell r="H375">
            <v>45214</v>
          </cell>
          <cell r="I375">
            <v>27255</v>
          </cell>
          <cell r="J375">
            <v>11649</v>
          </cell>
          <cell r="K375">
            <v>3997</v>
          </cell>
          <cell r="L375">
            <v>39405</v>
          </cell>
          <cell r="M375">
            <v>32527</v>
          </cell>
          <cell r="N375">
            <v>17683</v>
          </cell>
          <cell r="O375">
            <v>31501</v>
          </cell>
          <cell r="P375">
            <v>22706</v>
          </cell>
          <cell r="Q375">
            <v>13837</v>
          </cell>
          <cell r="R375">
            <v>18145</v>
          </cell>
          <cell r="S375">
            <v>20024</v>
          </cell>
          <cell r="T375">
            <v>2863</v>
          </cell>
          <cell r="V375">
            <v>3717</v>
          </cell>
          <cell r="W375">
            <v>12506</v>
          </cell>
          <cell r="X375">
            <v>10371</v>
          </cell>
          <cell r="Y375">
            <v>17155</v>
          </cell>
          <cell r="Z375">
            <v>4241</v>
          </cell>
          <cell r="AA375">
            <v>11165</v>
          </cell>
          <cell r="AB375">
            <v>4712</v>
          </cell>
          <cell r="AC375">
            <v>6115</v>
          </cell>
          <cell r="AE375">
            <v>8356</v>
          </cell>
          <cell r="AF375">
            <v>8344</v>
          </cell>
          <cell r="AH375">
            <v>11220</v>
          </cell>
          <cell r="DN375">
            <v>565773</v>
          </cell>
          <cell r="DO375">
            <v>375</v>
          </cell>
        </row>
        <row r="376">
          <cell r="A376" t="str">
            <v>Yuba City, CA Metro Area</v>
          </cell>
          <cell r="B376">
            <v>15175</v>
          </cell>
          <cell r="C376">
            <v>33436</v>
          </cell>
          <cell r="D376">
            <v>15427</v>
          </cell>
          <cell r="E376">
            <v>28023</v>
          </cell>
          <cell r="F376">
            <v>2143</v>
          </cell>
          <cell r="G376">
            <v>14032</v>
          </cell>
          <cell r="H376">
            <v>12051</v>
          </cell>
          <cell r="J376">
            <v>6205</v>
          </cell>
          <cell r="K376">
            <v>15237</v>
          </cell>
          <cell r="M376">
            <v>2783</v>
          </cell>
          <cell r="P376">
            <v>13151</v>
          </cell>
          <cell r="Q376">
            <v>1737</v>
          </cell>
          <cell r="U376">
            <v>2551</v>
          </cell>
          <cell r="AE376">
            <v>4941</v>
          </cell>
          <cell r="DN376">
            <v>166892</v>
          </cell>
          <cell r="DO376">
            <v>376</v>
          </cell>
        </row>
        <row r="377">
          <cell r="A377" t="str">
            <v>Yuma, AZ Metro Area</v>
          </cell>
          <cell r="B377">
            <v>6247</v>
          </cell>
          <cell r="C377">
            <v>16026</v>
          </cell>
          <cell r="D377">
            <v>26199</v>
          </cell>
          <cell r="E377">
            <v>33200</v>
          </cell>
          <cell r="F377">
            <v>5445</v>
          </cell>
          <cell r="G377">
            <v>5139</v>
          </cell>
          <cell r="H377">
            <v>14078</v>
          </cell>
          <cell r="K377">
            <v>10334</v>
          </cell>
          <cell r="L377">
            <v>14322</v>
          </cell>
          <cell r="M377">
            <v>18461</v>
          </cell>
          <cell r="N377">
            <v>3144</v>
          </cell>
          <cell r="O377">
            <v>7781</v>
          </cell>
          <cell r="P377">
            <v>2902</v>
          </cell>
          <cell r="R377">
            <v>502</v>
          </cell>
          <cell r="S377">
            <v>7538</v>
          </cell>
          <cell r="T377">
            <v>17249</v>
          </cell>
          <cell r="AC377">
            <v>4071</v>
          </cell>
          <cell r="AM377">
            <v>1646</v>
          </cell>
          <cell r="AS377">
            <v>0</v>
          </cell>
          <cell r="AT377">
            <v>1467</v>
          </cell>
          <cell r="DN377">
            <v>195751</v>
          </cell>
          <cell r="DO377">
            <v>377</v>
          </cell>
        </row>
      </sheetData>
      <sheetData sheetId="4">
        <row r="5">
          <cell r="A5" t="str">
            <v>Average of all U.S. metro areas</v>
          </cell>
          <cell r="B5">
            <v>13430.079234972678</v>
          </cell>
          <cell r="C5">
            <v>29891.112021857924</v>
          </cell>
          <cell r="D5">
            <v>33641.674863387976</v>
          </cell>
          <cell r="E5">
            <v>33342.013661202189</v>
          </cell>
          <cell r="F5">
            <v>32648.131147540982</v>
          </cell>
          <cell r="G5">
            <v>32092.234972677597</v>
          </cell>
          <cell r="H5">
            <v>30640.833333333332</v>
          </cell>
          <cell r="I5">
            <v>29735.234972677597</v>
          </cell>
          <cell r="J5">
            <v>28078.491803278688</v>
          </cell>
          <cell r="K5">
            <v>27534.10655737705</v>
          </cell>
          <cell r="L5">
            <v>25326.087431693988</v>
          </cell>
          <cell r="M5">
            <v>24627.953551912567</v>
          </cell>
          <cell r="N5">
            <v>21909.928961748636</v>
          </cell>
          <cell r="O5">
            <v>20165.013661202185</v>
          </cell>
          <cell r="P5">
            <v>18375.079234972676</v>
          </cell>
          <cell r="Q5">
            <v>17612.363387978141</v>
          </cell>
          <cell r="R5">
            <v>15736.969945355191</v>
          </cell>
          <cell r="S5">
            <v>14331.254098360656</v>
          </cell>
          <cell r="T5">
            <v>13710.251366120219</v>
          </cell>
          <cell r="U5">
            <v>13393.497267759563</v>
          </cell>
          <cell r="V5">
            <v>12599.426229508197</v>
          </cell>
          <cell r="W5">
            <v>10881.08743169399</v>
          </cell>
          <cell r="X5">
            <v>10918.051912568306</v>
          </cell>
          <cell r="Y5">
            <v>10202.540983606557</v>
          </cell>
          <cell r="Z5">
            <v>9105.8087431693984</v>
          </cell>
          <cell r="AA5">
            <v>8579.0765027322395</v>
          </cell>
          <cell r="AB5">
            <v>7848.5491803278692</v>
          </cell>
          <cell r="AC5">
            <v>7936.601092896175</v>
          </cell>
          <cell r="AD5">
            <v>6873.9125683060111</v>
          </cell>
          <cell r="AE5">
            <v>6605.122950819672</v>
          </cell>
          <cell r="AF5">
            <v>5884.1338797814205</v>
          </cell>
          <cell r="AG5">
            <v>5035.710382513661</v>
          </cell>
          <cell r="AH5">
            <v>4829.5081967213118</v>
          </cell>
          <cell r="AI5">
            <v>4569.3743169398904</v>
          </cell>
          <cell r="AJ5">
            <v>4106.6830601092897</v>
          </cell>
          <cell r="AK5">
            <v>4158.6393442622948</v>
          </cell>
          <cell r="AL5">
            <v>3828.2377049180327</v>
          </cell>
          <cell r="AM5">
            <v>3411.9562841530055</v>
          </cell>
          <cell r="AN5">
            <v>2524.6284153005463</v>
          </cell>
          <cell r="AO5">
            <v>2614.6639344262294</v>
          </cell>
          <cell r="AP5">
            <v>2190.9535519125684</v>
          </cell>
          <cell r="AQ5">
            <v>1740.4180327868853</v>
          </cell>
          <cell r="AR5">
            <v>2084.8169398907103</v>
          </cell>
          <cell r="AS5">
            <v>1940.5628415300546</v>
          </cell>
          <cell r="AT5">
            <v>1558.9535519125684</v>
          </cell>
          <cell r="AU5">
            <v>1437.7650273224044</v>
          </cell>
          <cell r="AV5">
            <v>1517.0027322404371</v>
          </cell>
          <cell r="AW5">
            <v>1296.360655737705</v>
          </cell>
          <cell r="AX5">
            <v>1164.139344262295</v>
          </cell>
          <cell r="AY5">
            <v>1050.0573770491803</v>
          </cell>
          <cell r="AZ5">
            <v>1051.4344262295083</v>
          </cell>
          <cell r="BA5">
            <v>988.98633879781426</v>
          </cell>
          <cell r="BB5">
            <v>846.84153005464486</v>
          </cell>
          <cell r="BC5">
            <v>927.48633879781426</v>
          </cell>
          <cell r="BD5">
            <v>811.56010928961746</v>
          </cell>
          <cell r="BE5">
            <v>609.62021857923503</v>
          </cell>
          <cell r="BF5">
            <v>690.30601092896177</v>
          </cell>
          <cell r="BG5">
            <v>478.55737704918033</v>
          </cell>
          <cell r="BH5">
            <v>383.86885245901641</v>
          </cell>
          <cell r="BI5">
            <v>484.54371584699453</v>
          </cell>
          <cell r="BJ5">
            <v>319.9863387978142</v>
          </cell>
          <cell r="BK5">
            <v>352.66666666666669</v>
          </cell>
          <cell r="BL5">
            <v>312.42349726775956</v>
          </cell>
          <cell r="BM5">
            <v>312.38797814207652</v>
          </cell>
          <cell r="BN5">
            <v>249.82513661202185</v>
          </cell>
          <cell r="BO5">
            <v>284.85519125683061</v>
          </cell>
          <cell r="BP5">
            <v>211.78415300546447</v>
          </cell>
          <cell r="BQ5">
            <v>213.51912568306011</v>
          </cell>
          <cell r="BR5">
            <v>304.78142076502735</v>
          </cell>
          <cell r="BS5">
            <v>170.88797814207649</v>
          </cell>
          <cell r="BT5">
            <v>127.40710382513662</v>
          </cell>
          <cell r="BU5">
            <v>159.27595628415301</v>
          </cell>
          <cell r="BV5">
            <v>140.47540983606558</v>
          </cell>
          <cell r="BW5">
            <v>146.77868852459017</v>
          </cell>
          <cell r="BX5">
            <v>122.62841530054645</v>
          </cell>
          <cell r="BY5">
            <v>87.967213114754102</v>
          </cell>
          <cell r="BZ5">
            <v>128.91530054644809</v>
          </cell>
          <cell r="CA5">
            <v>144.6639344262295</v>
          </cell>
          <cell r="CB5">
            <v>116.62021857923497</v>
          </cell>
          <cell r="CC5">
            <v>65.748633879781423</v>
          </cell>
          <cell r="CD5">
            <v>52.950819672131146</v>
          </cell>
          <cell r="CE5">
            <v>70.035519125683066</v>
          </cell>
          <cell r="CF5">
            <v>134.22404371584699</v>
          </cell>
          <cell r="CG5">
            <v>39.306010928961747</v>
          </cell>
          <cell r="CH5">
            <v>57.94535519125683</v>
          </cell>
          <cell r="CI5">
            <v>76.581967213114751</v>
          </cell>
          <cell r="CJ5">
            <v>29.412568306010929</v>
          </cell>
          <cell r="CK5">
            <v>31.136612021857925</v>
          </cell>
          <cell r="CL5">
            <v>25.989071038251367</v>
          </cell>
          <cell r="CM5">
            <v>5.1967213114754101</v>
          </cell>
          <cell r="CN5">
            <v>20.404371584699454</v>
          </cell>
          <cell r="CO5">
            <v>16.081967213114755</v>
          </cell>
          <cell r="CP5">
            <v>25.098360655737704</v>
          </cell>
          <cell r="CQ5">
            <v>2.7131147540983607</v>
          </cell>
          <cell r="CR5">
            <v>10.193989071038251</v>
          </cell>
          <cell r="CS5">
            <v>16.975409836065573</v>
          </cell>
          <cell r="CT5">
            <v>36.450819672131146</v>
          </cell>
          <cell r="CU5">
            <v>34.357923497267763</v>
          </cell>
          <cell r="CV5">
            <v>22.691256830601095</v>
          </cell>
          <cell r="CW5">
            <v>21.191256830601095</v>
          </cell>
          <cell r="CX5">
            <v>18.565573770491802</v>
          </cell>
          <cell r="CY5">
            <v>6.2650273224043715</v>
          </cell>
          <cell r="CZ5">
            <v>5.1229508196721314</v>
          </cell>
          <cell r="DA5">
            <v>7.6994535519125682</v>
          </cell>
          <cell r="DB5">
            <v>22.699453551912569</v>
          </cell>
          <cell r="DC5">
            <v>5.2868852459016393</v>
          </cell>
          <cell r="DD5">
            <v>13.292349726775956</v>
          </cell>
          <cell r="DE5">
            <v>16.904371584699454</v>
          </cell>
          <cell r="DF5">
            <v>4.4234972677595632</v>
          </cell>
          <cell r="DG5">
            <v>0.64207650273224048</v>
          </cell>
          <cell r="DH5">
            <v>9.9480874316939882</v>
          </cell>
          <cell r="DI5">
            <v>5.4836065573770494</v>
          </cell>
          <cell r="DJ5">
            <v>4.221311475409836</v>
          </cell>
          <cell r="DK5">
            <v>16.997267759562842</v>
          </cell>
          <cell r="DL5">
            <v>1.3661202185792349E-2</v>
          </cell>
          <cell r="DN5">
            <v>636830.36065573734</v>
          </cell>
          <cell r="DO5">
            <v>5</v>
          </cell>
        </row>
        <row r="6">
          <cell r="A6" t="str">
            <v>Average of U.S. metro areas of 5,000,000 or more</v>
          </cell>
          <cell r="B6">
            <v>37877.111111111109</v>
          </cell>
          <cell r="C6">
            <v>105165.55555555556</v>
          </cell>
          <cell r="D6">
            <v>171997.66666666666</v>
          </cell>
          <cell r="E6">
            <v>207547.22222222222</v>
          </cell>
          <cell r="F6">
            <v>251997.66666666666</v>
          </cell>
          <cell r="G6">
            <v>305882.77777777775</v>
          </cell>
          <cell r="H6">
            <v>311356.22222222225</v>
          </cell>
          <cell r="I6">
            <v>328525.88888888888</v>
          </cell>
          <cell r="J6">
            <v>298657.55555555556</v>
          </cell>
          <cell r="K6">
            <v>301570.77777777775</v>
          </cell>
          <cell r="L6">
            <v>307799.33333333331</v>
          </cell>
          <cell r="M6">
            <v>317802.22222222225</v>
          </cell>
          <cell r="N6">
            <v>286854.66666666669</v>
          </cell>
          <cell r="O6">
            <v>254677.77777777778</v>
          </cell>
          <cell r="P6">
            <v>229755.11111111112</v>
          </cell>
          <cell r="Q6">
            <v>224870.88888888888</v>
          </cell>
          <cell r="R6">
            <v>204752.33333333334</v>
          </cell>
          <cell r="S6">
            <v>182127.22222222222</v>
          </cell>
          <cell r="T6">
            <v>189990.66666666666</v>
          </cell>
          <cell r="U6">
            <v>211456.88888888888</v>
          </cell>
          <cell r="V6">
            <v>194614.33333333334</v>
          </cell>
          <cell r="W6">
            <v>172883.33333333334</v>
          </cell>
          <cell r="X6">
            <v>172378.11111111112</v>
          </cell>
          <cell r="Y6">
            <v>166068.22222222222</v>
          </cell>
          <cell r="Z6">
            <v>141094</v>
          </cell>
          <cell r="AA6">
            <v>139188.66666666666</v>
          </cell>
          <cell r="AB6">
            <v>129798.88888888889</v>
          </cell>
          <cell r="AC6">
            <v>136504</v>
          </cell>
          <cell r="AD6">
            <v>126095.11111111111</v>
          </cell>
          <cell r="AE6">
            <v>114846.33333333333</v>
          </cell>
          <cell r="AF6">
            <v>101694.66666666667</v>
          </cell>
          <cell r="AG6">
            <v>96033.333333333328</v>
          </cell>
          <cell r="AH6">
            <v>87937.444444444438</v>
          </cell>
          <cell r="AI6">
            <v>84816.777777777781</v>
          </cell>
          <cell r="AJ6">
            <v>76517.444444444438</v>
          </cell>
          <cell r="AK6">
            <v>81836.111111111109</v>
          </cell>
          <cell r="AL6">
            <v>83387.666666666672</v>
          </cell>
          <cell r="AM6">
            <v>66475.333333333328</v>
          </cell>
          <cell r="AN6">
            <v>50040</v>
          </cell>
          <cell r="AO6">
            <v>55869</v>
          </cell>
          <cell r="AP6">
            <v>48573.888888888891</v>
          </cell>
          <cell r="AQ6">
            <v>40140.555555555555</v>
          </cell>
          <cell r="AR6">
            <v>52024.777777777781</v>
          </cell>
          <cell r="AS6">
            <v>48239.666666666664</v>
          </cell>
          <cell r="AT6">
            <v>38945.888888888891</v>
          </cell>
          <cell r="AU6">
            <v>33597.222222222219</v>
          </cell>
          <cell r="AV6">
            <v>38541.666666666664</v>
          </cell>
          <cell r="AW6">
            <v>37287.777777777781</v>
          </cell>
          <cell r="AX6">
            <v>31997.555555555555</v>
          </cell>
          <cell r="AY6">
            <v>27628.333333333332</v>
          </cell>
          <cell r="AZ6">
            <v>29534.777777777777</v>
          </cell>
          <cell r="BA6">
            <v>25643.666666666668</v>
          </cell>
          <cell r="BB6">
            <v>21087.777777777777</v>
          </cell>
          <cell r="BC6">
            <v>23171.555555555555</v>
          </cell>
          <cell r="BD6">
            <v>19664.222222222223</v>
          </cell>
          <cell r="BE6">
            <v>13970.888888888889</v>
          </cell>
          <cell r="BF6">
            <v>14736.111111111111</v>
          </cell>
          <cell r="BG6">
            <v>11718.666666666666</v>
          </cell>
          <cell r="BH6">
            <v>8916.3333333333339</v>
          </cell>
          <cell r="BI6">
            <v>12009.666666666666</v>
          </cell>
          <cell r="BJ6">
            <v>8889.1111111111113</v>
          </cell>
          <cell r="BK6">
            <v>10656.111111111111</v>
          </cell>
          <cell r="BL6">
            <v>9169.6666666666661</v>
          </cell>
          <cell r="BM6">
            <v>9976.7777777777774</v>
          </cell>
          <cell r="BN6">
            <v>6965.666666666667</v>
          </cell>
          <cell r="BO6">
            <v>5561.1111111111113</v>
          </cell>
          <cell r="BP6">
            <v>5791</v>
          </cell>
          <cell r="BQ6">
            <v>4566.8888888888887</v>
          </cell>
          <cell r="BR6">
            <v>8461.4444444444453</v>
          </cell>
          <cell r="BS6">
            <v>4735.4444444444443</v>
          </cell>
          <cell r="BT6">
            <v>3934.7777777777778</v>
          </cell>
          <cell r="BU6">
            <v>4750.5555555555557</v>
          </cell>
          <cell r="BV6">
            <v>3868.4444444444443</v>
          </cell>
          <cell r="BW6">
            <v>4163</v>
          </cell>
          <cell r="BX6">
            <v>3874.5555555555557</v>
          </cell>
          <cell r="BY6">
            <v>2990.2222222222222</v>
          </cell>
          <cell r="BZ6">
            <v>2853.1111111111113</v>
          </cell>
          <cell r="CA6">
            <v>2137</v>
          </cell>
          <cell r="CB6">
            <v>3343.8888888888887</v>
          </cell>
          <cell r="CC6">
            <v>2221.5555555555557</v>
          </cell>
          <cell r="CD6">
            <v>1685.3333333333333</v>
          </cell>
          <cell r="CE6">
            <v>2194.1111111111113</v>
          </cell>
          <cell r="CF6">
            <v>3612.2222222222222</v>
          </cell>
          <cell r="CG6">
            <v>663.55555555555554</v>
          </cell>
          <cell r="CH6">
            <v>1691.7777777777778</v>
          </cell>
          <cell r="CI6">
            <v>2580.8888888888887</v>
          </cell>
          <cell r="CJ6">
            <v>0</v>
          </cell>
          <cell r="CK6">
            <v>0</v>
          </cell>
          <cell r="CL6">
            <v>517.66666666666663</v>
          </cell>
          <cell r="CM6">
            <v>211.33333333333334</v>
          </cell>
          <cell r="CN6">
            <v>614.88888888888891</v>
          </cell>
          <cell r="CO6">
            <v>234.44444444444446</v>
          </cell>
          <cell r="CP6">
            <v>397.55555555555554</v>
          </cell>
          <cell r="CQ6">
            <v>0</v>
          </cell>
          <cell r="CR6">
            <v>0</v>
          </cell>
          <cell r="CS6">
            <v>690.33333333333337</v>
          </cell>
          <cell r="CT6">
            <v>150.33333333333334</v>
          </cell>
          <cell r="CU6">
            <v>918.55555555555554</v>
          </cell>
          <cell r="CV6">
            <v>0</v>
          </cell>
          <cell r="CW6">
            <v>427.22222222222223</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N6">
            <v>7711675.8888888909</v>
          </cell>
          <cell r="DO6">
            <v>6</v>
          </cell>
        </row>
        <row r="7">
          <cell r="A7" t="str">
            <v>Average of U.S. metro areas of 2,500,000 to 4,999,999</v>
          </cell>
          <cell r="B7">
            <v>29538.75</v>
          </cell>
          <cell r="C7">
            <v>75066</v>
          </cell>
          <cell r="D7">
            <v>84360.583333333328</v>
          </cell>
          <cell r="E7">
            <v>107297.66666666667</v>
          </cell>
          <cell r="F7">
            <v>126195.25</v>
          </cell>
          <cell r="G7">
            <v>117311.08333333333</v>
          </cell>
          <cell r="H7">
            <v>118746.58333333333</v>
          </cell>
          <cell r="I7">
            <v>136165.91666666666</v>
          </cell>
          <cell r="J7">
            <v>146228.41666666666</v>
          </cell>
          <cell r="K7">
            <v>146810.33333333334</v>
          </cell>
          <cell r="L7">
            <v>140670.91666666666</v>
          </cell>
          <cell r="M7">
            <v>129097.33333333333</v>
          </cell>
          <cell r="N7">
            <v>125103.33333333333</v>
          </cell>
          <cell r="O7">
            <v>128077.25</v>
          </cell>
          <cell r="P7">
            <v>113526.41666666667</v>
          </cell>
          <cell r="Q7">
            <v>109568.91666666667</v>
          </cell>
          <cell r="R7">
            <v>97051.666666666672</v>
          </cell>
          <cell r="S7">
            <v>91371.416666666672</v>
          </cell>
          <cell r="T7">
            <v>93384.416666666672</v>
          </cell>
          <cell r="U7">
            <v>85471.25</v>
          </cell>
          <cell r="V7">
            <v>82946</v>
          </cell>
          <cell r="W7">
            <v>65935.75</v>
          </cell>
          <cell r="X7">
            <v>74324.166666666672</v>
          </cell>
          <cell r="Y7">
            <v>62727.666666666664</v>
          </cell>
          <cell r="Z7">
            <v>59465.166666666664</v>
          </cell>
          <cell r="AA7">
            <v>49067.833333333336</v>
          </cell>
          <cell r="AB7">
            <v>46547.25</v>
          </cell>
          <cell r="AC7">
            <v>49469.833333333336</v>
          </cell>
          <cell r="AD7">
            <v>40734.166666666664</v>
          </cell>
          <cell r="AE7">
            <v>42928.416666666664</v>
          </cell>
          <cell r="AF7">
            <v>35809.583333333336</v>
          </cell>
          <cell r="AG7">
            <v>25013.833333333332</v>
          </cell>
          <cell r="AH7">
            <v>31354.5</v>
          </cell>
          <cell r="AI7">
            <v>27564.666666666668</v>
          </cell>
          <cell r="AJ7">
            <v>23577</v>
          </cell>
          <cell r="AK7">
            <v>30104.5</v>
          </cell>
          <cell r="AL7">
            <v>20475</v>
          </cell>
          <cell r="AM7">
            <v>22753.5</v>
          </cell>
          <cell r="AN7">
            <v>14234.583333333334</v>
          </cell>
          <cell r="AO7">
            <v>15001.916666666666</v>
          </cell>
          <cell r="AP7">
            <v>9024.4166666666661</v>
          </cell>
          <cell r="AQ7">
            <v>8853.1666666666661</v>
          </cell>
          <cell r="AR7">
            <v>8955.9166666666661</v>
          </cell>
          <cell r="AS7">
            <v>10955.166666666666</v>
          </cell>
          <cell r="AT7">
            <v>6217.166666666667</v>
          </cell>
          <cell r="AU7">
            <v>9908.4166666666661</v>
          </cell>
          <cell r="AV7">
            <v>6247.083333333333</v>
          </cell>
          <cell r="AW7">
            <v>5822.75</v>
          </cell>
          <cell r="AX7">
            <v>5624.583333333333</v>
          </cell>
          <cell r="AY7">
            <v>6741.583333333333</v>
          </cell>
          <cell r="AZ7">
            <v>4948.75</v>
          </cell>
          <cell r="BA7">
            <v>4580.416666666667</v>
          </cell>
          <cell r="BB7">
            <v>4067</v>
          </cell>
          <cell r="BC7">
            <v>6524.333333333333</v>
          </cell>
          <cell r="BD7">
            <v>5578.333333333333</v>
          </cell>
          <cell r="BE7">
            <v>3665.9166666666665</v>
          </cell>
          <cell r="BF7">
            <v>4727.5</v>
          </cell>
          <cell r="BG7">
            <v>3917.5</v>
          </cell>
          <cell r="BH7">
            <v>2824.8333333333335</v>
          </cell>
          <cell r="BI7">
            <v>3228.5833333333335</v>
          </cell>
          <cell r="BJ7">
            <v>2573.0833333333335</v>
          </cell>
          <cell r="BK7">
            <v>1730.4166666666667</v>
          </cell>
          <cell r="BL7">
            <v>1728.9166666666667</v>
          </cell>
          <cell r="BM7">
            <v>1659</v>
          </cell>
          <cell r="BN7">
            <v>2255.5833333333335</v>
          </cell>
          <cell r="BO7">
            <v>3699.1666666666665</v>
          </cell>
          <cell r="BP7">
            <v>1793.3333333333333</v>
          </cell>
          <cell r="BQ7">
            <v>2551</v>
          </cell>
          <cell r="BR7">
            <v>1720.9166666666667</v>
          </cell>
          <cell r="BS7">
            <v>799</v>
          </cell>
          <cell r="BT7">
            <v>934.83333333333337</v>
          </cell>
          <cell r="BU7">
            <v>1251.75</v>
          </cell>
          <cell r="BV7">
            <v>726.25</v>
          </cell>
          <cell r="BW7">
            <v>599.75</v>
          </cell>
          <cell r="BX7">
            <v>711.33333333333337</v>
          </cell>
          <cell r="BY7">
            <v>304.75</v>
          </cell>
          <cell r="BZ7">
            <v>1219.8333333333333</v>
          </cell>
          <cell r="CA7">
            <v>1165.6666666666667</v>
          </cell>
          <cell r="CB7">
            <v>0</v>
          </cell>
          <cell r="CC7">
            <v>0</v>
          </cell>
          <cell r="CD7">
            <v>0</v>
          </cell>
          <cell r="CE7">
            <v>236.75</v>
          </cell>
          <cell r="CF7">
            <v>839.66666666666663</v>
          </cell>
          <cell r="CG7">
            <v>0</v>
          </cell>
          <cell r="CH7">
            <v>0</v>
          </cell>
          <cell r="CI7">
            <v>0</v>
          </cell>
          <cell r="CJ7">
            <v>346.5</v>
          </cell>
          <cell r="CK7">
            <v>0</v>
          </cell>
          <cell r="CL7">
            <v>0</v>
          </cell>
          <cell r="CM7">
            <v>0</v>
          </cell>
          <cell r="CN7">
            <v>0</v>
          </cell>
          <cell r="CO7">
            <v>0</v>
          </cell>
          <cell r="CP7">
            <v>467.33333333333331</v>
          </cell>
          <cell r="CQ7">
            <v>82.75</v>
          </cell>
          <cell r="CR7">
            <v>310.91666666666669</v>
          </cell>
          <cell r="CS7">
            <v>0</v>
          </cell>
          <cell r="CT7">
            <v>999</v>
          </cell>
          <cell r="CU7">
            <v>0</v>
          </cell>
          <cell r="CV7">
            <v>364.83333333333331</v>
          </cell>
          <cell r="CW7">
            <v>0</v>
          </cell>
          <cell r="CX7">
            <v>0</v>
          </cell>
          <cell r="CY7">
            <v>191.08333333333334</v>
          </cell>
          <cell r="CZ7">
            <v>0</v>
          </cell>
          <cell r="DA7">
            <v>234.83333333333334</v>
          </cell>
          <cell r="DB7">
            <v>692.33333333333337</v>
          </cell>
          <cell r="DC7">
            <v>161.25</v>
          </cell>
          <cell r="DD7">
            <v>405.41666666666669</v>
          </cell>
          <cell r="DE7">
            <v>515.58333333333337</v>
          </cell>
          <cell r="DF7">
            <v>134.91666666666666</v>
          </cell>
          <cell r="DG7">
            <v>19.583333333333332</v>
          </cell>
          <cell r="DH7">
            <v>303.41666666666669</v>
          </cell>
          <cell r="DI7">
            <v>167.25</v>
          </cell>
          <cell r="DJ7">
            <v>128.75</v>
          </cell>
          <cell r="DK7">
            <v>0</v>
          </cell>
          <cell r="DL7">
            <v>0</v>
          </cell>
          <cell r="DN7">
            <v>3177519</v>
          </cell>
          <cell r="DO7">
            <v>7</v>
          </cell>
        </row>
        <row r="8">
          <cell r="A8" t="str">
            <v>Average of U.S. metro areas of 1,000,000 to 2,499,999</v>
          </cell>
          <cell r="B8">
            <v>14091.366666666667</v>
          </cell>
          <cell r="C8">
            <v>46483.366666666669</v>
          </cell>
          <cell r="D8">
            <v>70750.8</v>
          </cell>
          <cell r="E8">
            <v>77211.133333333331</v>
          </cell>
          <cell r="F8">
            <v>86400.366666666669</v>
          </cell>
          <cell r="G8">
            <v>91139.333333333328</v>
          </cell>
          <cell r="H8">
            <v>87888.96666666666</v>
          </cell>
          <cell r="I8">
            <v>83104.833333333328</v>
          </cell>
          <cell r="J8">
            <v>82693.233333333337</v>
          </cell>
          <cell r="K8">
            <v>80207.46666666666</v>
          </cell>
          <cell r="L8">
            <v>69492.3</v>
          </cell>
          <cell r="M8">
            <v>66330.3</v>
          </cell>
          <cell r="N8">
            <v>53597.066666666666</v>
          </cell>
          <cell r="O8">
            <v>44911.6</v>
          </cell>
          <cell r="P8">
            <v>40187.433333333334</v>
          </cell>
          <cell r="Q8">
            <v>39963.300000000003</v>
          </cell>
          <cell r="R8">
            <v>34470.033333333333</v>
          </cell>
          <cell r="S8">
            <v>30871.666666666668</v>
          </cell>
          <cell r="T8">
            <v>27198.7</v>
          </cell>
          <cell r="U8">
            <v>24594.133333333335</v>
          </cell>
          <cell r="V8">
            <v>24056.466666666667</v>
          </cell>
          <cell r="W8">
            <v>20443.400000000001</v>
          </cell>
          <cell r="X8">
            <v>18357.533333333333</v>
          </cell>
          <cell r="Y8">
            <v>18302.766666666666</v>
          </cell>
          <cell r="Z8">
            <v>15989.8</v>
          </cell>
          <cell r="AA8">
            <v>17716.966666666667</v>
          </cell>
          <cell r="AB8">
            <v>16897.2</v>
          </cell>
          <cell r="AC8">
            <v>19258.666666666668</v>
          </cell>
          <cell r="AD8">
            <v>16270.233333333334</v>
          </cell>
          <cell r="AE8">
            <v>14088</v>
          </cell>
          <cell r="AF8">
            <v>11969.266666666666</v>
          </cell>
          <cell r="AG8">
            <v>12557.9</v>
          </cell>
          <cell r="AH8">
            <v>11121.866666666667</v>
          </cell>
          <cell r="AI8">
            <v>8936.2333333333336</v>
          </cell>
          <cell r="AJ8">
            <v>8751.1333333333332</v>
          </cell>
          <cell r="AK8">
            <v>5775.4333333333334</v>
          </cell>
          <cell r="AL8">
            <v>7354.4666666666662</v>
          </cell>
          <cell r="AM8">
            <v>6614.5</v>
          </cell>
          <cell r="AN8">
            <v>5147.7333333333336</v>
          </cell>
          <cell r="AO8">
            <v>4768.8999999999996</v>
          </cell>
          <cell r="AP8">
            <v>3840.3</v>
          </cell>
          <cell r="AQ8">
            <v>2927.7666666666669</v>
          </cell>
          <cell r="AR8">
            <v>3226.2333333333331</v>
          </cell>
          <cell r="AS8">
            <v>3334.5</v>
          </cell>
          <cell r="AT8">
            <v>2494.6999999999998</v>
          </cell>
          <cell r="AU8">
            <v>1580.3666666666666</v>
          </cell>
          <cell r="AV8">
            <v>2387.8666666666668</v>
          </cell>
          <cell r="AW8">
            <v>1636.5666666666666</v>
          </cell>
          <cell r="AX8">
            <v>1348.7333333333333</v>
          </cell>
          <cell r="AY8">
            <v>1258.0999999999999</v>
          </cell>
          <cell r="AZ8">
            <v>1241.9666666666667</v>
          </cell>
          <cell r="BA8">
            <v>1340.1333333333334</v>
          </cell>
          <cell r="BB8">
            <v>913.9666666666667</v>
          </cell>
          <cell r="BC8">
            <v>1020.5</v>
          </cell>
          <cell r="BD8">
            <v>724.16666666666663</v>
          </cell>
          <cell r="BE8">
            <v>363.43333333333334</v>
          </cell>
          <cell r="BF8">
            <v>506.06666666666666</v>
          </cell>
          <cell r="BG8">
            <v>0</v>
          </cell>
          <cell r="BH8">
            <v>368.7</v>
          </cell>
          <cell r="BI8">
            <v>227.06666666666666</v>
          </cell>
          <cell r="BJ8">
            <v>0</v>
          </cell>
          <cell r="BK8">
            <v>139.86666666666667</v>
          </cell>
          <cell r="BL8">
            <v>0</v>
          </cell>
          <cell r="BM8">
            <v>0</v>
          </cell>
          <cell r="BN8">
            <v>0</v>
          </cell>
          <cell r="BO8">
            <v>119.2</v>
          </cell>
          <cell r="BP8">
            <v>0</v>
          </cell>
          <cell r="BQ8">
            <v>154.26666666666668</v>
          </cell>
          <cell r="BR8">
            <v>3.1333333333333333</v>
          </cell>
          <cell r="BS8">
            <v>98.966666666666669</v>
          </cell>
          <cell r="BT8">
            <v>0</v>
          </cell>
          <cell r="BU8">
            <v>17.3</v>
          </cell>
          <cell r="BV8">
            <v>52.3</v>
          </cell>
          <cell r="BW8">
            <v>112.46666666666667</v>
          </cell>
          <cell r="BX8">
            <v>25.033333333333335</v>
          </cell>
          <cell r="BY8">
            <v>54.233333333333334</v>
          </cell>
          <cell r="BZ8">
            <v>0</v>
          </cell>
          <cell r="CA8">
            <v>235.9</v>
          </cell>
          <cell r="CB8">
            <v>0</v>
          </cell>
          <cell r="CC8">
            <v>73.233333333333334</v>
          </cell>
          <cell r="CD8">
            <v>72.900000000000006</v>
          </cell>
          <cell r="CE8">
            <v>101.5</v>
          </cell>
          <cell r="CF8">
            <v>132.5</v>
          </cell>
          <cell r="CG8">
            <v>280.46666666666664</v>
          </cell>
          <cell r="CH8">
            <v>199.4</v>
          </cell>
          <cell r="CI8">
            <v>160.03333333333333</v>
          </cell>
          <cell r="CJ8">
            <v>169.4</v>
          </cell>
          <cell r="CK8">
            <v>379.86666666666667</v>
          </cell>
          <cell r="CL8">
            <v>0</v>
          </cell>
          <cell r="CM8">
            <v>0</v>
          </cell>
          <cell r="CN8">
            <v>64.466666666666669</v>
          </cell>
          <cell r="CO8">
            <v>125.86666666666666</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N8">
            <v>1449479.2999999993</v>
          </cell>
          <cell r="DO8">
            <v>8</v>
          </cell>
        </row>
        <row r="9">
          <cell r="A9" t="str">
            <v>Average of U.S. metro areas of 500,000 to 999,999</v>
          </cell>
          <cell r="B9">
            <v>15844.019607843138</v>
          </cell>
          <cell r="C9">
            <v>36866.294117647056</v>
          </cell>
          <cell r="D9">
            <v>42648.098039215685</v>
          </cell>
          <cell r="E9">
            <v>43146.98039215686</v>
          </cell>
          <cell r="F9">
            <v>40509.862745098042</v>
          </cell>
          <cell r="G9">
            <v>37939.627450980392</v>
          </cell>
          <cell r="H9">
            <v>37980.294117647056</v>
          </cell>
          <cell r="I9">
            <v>32175.784313725489</v>
          </cell>
          <cell r="J9">
            <v>28097.137254901962</v>
          </cell>
          <cell r="K9">
            <v>30185.980392156864</v>
          </cell>
          <cell r="L9">
            <v>21997.568627450979</v>
          </cell>
          <cell r="M9">
            <v>22688.333333333332</v>
          </cell>
          <cell r="N9">
            <v>20515.411764705881</v>
          </cell>
          <cell r="O9">
            <v>18231.098039215685</v>
          </cell>
          <cell r="P9">
            <v>16572.745098039217</v>
          </cell>
          <cell r="Q9">
            <v>15134.019607843138</v>
          </cell>
          <cell r="R9">
            <v>12974.039215686274</v>
          </cell>
          <cell r="S9">
            <v>15069.607843137255</v>
          </cell>
          <cell r="T9">
            <v>11198.686274509804</v>
          </cell>
          <cell r="U9">
            <v>11265.058823529413</v>
          </cell>
          <cell r="V9">
            <v>11173.901960784313</v>
          </cell>
          <cell r="W9">
            <v>9093.9019607843129</v>
          </cell>
          <cell r="X9">
            <v>8270.3333333333339</v>
          </cell>
          <cell r="Y9">
            <v>8636.6274509803916</v>
          </cell>
          <cell r="Z9">
            <v>6945.7254901960787</v>
          </cell>
          <cell r="AA9">
            <v>7237.1568627450979</v>
          </cell>
          <cell r="AB9">
            <v>5955.1960784313724</v>
          </cell>
          <cell r="AC9">
            <v>5810.1176470588234</v>
          </cell>
          <cell r="AD9">
            <v>3931.9607843137255</v>
          </cell>
          <cell r="AE9">
            <v>4639.333333333333</v>
          </cell>
          <cell r="AF9">
            <v>4436.5098039215691</v>
          </cell>
          <cell r="AG9">
            <v>3292.6078431372548</v>
          </cell>
          <cell r="AH9">
            <v>3043.1372549019607</v>
          </cell>
          <cell r="AI9">
            <v>3094.1568627450979</v>
          </cell>
          <cell r="AJ9">
            <v>3701.6862745098038</v>
          </cell>
          <cell r="AK9">
            <v>3385.5294117647059</v>
          </cell>
          <cell r="AL9">
            <v>2480.3921568627452</v>
          </cell>
          <cell r="AM9">
            <v>2266.8039215686276</v>
          </cell>
          <cell r="AN9">
            <v>1997.7450980392157</v>
          </cell>
          <cell r="AO9">
            <v>2008.9019607843138</v>
          </cell>
          <cell r="AP9">
            <v>1908.8823529411766</v>
          </cell>
          <cell r="AQ9">
            <v>782.8039215686274</v>
          </cell>
          <cell r="AR9">
            <v>1224.0196078431372</v>
          </cell>
          <cell r="AS9">
            <v>232.80392156862746</v>
          </cell>
          <cell r="AT9">
            <v>897.58823529411768</v>
          </cell>
          <cell r="AU9">
            <v>668.1960784313726</v>
          </cell>
          <cell r="AV9">
            <v>295.1764705882353</v>
          </cell>
          <cell r="AW9">
            <v>221.49019607843138</v>
          </cell>
          <cell r="AX9">
            <v>296.01960784313724</v>
          </cell>
          <cell r="AY9">
            <v>182.07843137254903</v>
          </cell>
          <cell r="AZ9">
            <v>190.01960784313727</v>
          </cell>
          <cell r="BA9">
            <v>94.529411764705884</v>
          </cell>
          <cell r="BB9">
            <v>268.98039215686276</v>
          </cell>
          <cell r="BC9">
            <v>0</v>
          </cell>
          <cell r="BD9">
            <v>0</v>
          </cell>
          <cell r="BE9">
            <v>0</v>
          </cell>
          <cell r="BF9">
            <v>188.62745098039215</v>
          </cell>
          <cell r="BG9">
            <v>0</v>
          </cell>
          <cell r="BH9">
            <v>42.745098039215684</v>
          </cell>
          <cell r="BI9">
            <v>216</v>
          </cell>
          <cell r="BJ9">
            <v>122.27450980392157</v>
          </cell>
          <cell r="BK9">
            <v>63.372549019607845</v>
          </cell>
          <cell r="BL9">
            <v>98.313725490196077</v>
          </cell>
          <cell r="BM9">
            <v>24.470588235294116</v>
          </cell>
          <cell r="BN9">
            <v>0</v>
          </cell>
          <cell r="BO9">
            <v>50.725490196078432</v>
          </cell>
          <cell r="BP9">
            <v>0</v>
          </cell>
          <cell r="BQ9">
            <v>0</v>
          </cell>
          <cell r="BR9">
            <v>128.9607843137255</v>
          </cell>
          <cell r="BS9">
            <v>58.274509803921568</v>
          </cell>
          <cell r="BT9">
            <v>0</v>
          </cell>
          <cell r="BU9">
            <v>0</v>
          </cell>
          <cell r="BV9">
            <v>0</v>
          </cell>
          <cell r="BW9">
            <v>111.43137254901961</v>
          </cell>
          <cell r="BX9">
            <v>0</v>
          </cell>
          <cell r="BY9">
            <v>0</v>
          </cell>
          <cell r="BZ9">
            <v>134.64705882352942</v>
          </cell>
          <cell r="CA9">
            <v>204.58823529411765</v>
          </cell>
          <cell r="CB9">
            <v>132.45098039215685</v>
          </cell>
          <cell r="CC9">
            <v>36.725490196078432</v>
          </cell>
          <cell r="CD9">
            <v>39.705882352941174</v>
          </cell>
          <cell r="CE9">
            <v>0</v>
          </cell>
          <cell r="CF9">
            <v>0</v>
          </cell>
          <cell r="CG9">
            <v>0</v>
          </cell>
          <cell r="CH9">
            <v>0</v>
          </cell>
          <cell r="CI9">
            <v>0</v>
          </cell>
          <cell r="CJ9">
            <v>29.901960784313726</v>
          </cell>
          <cell r="CK9">
            <v>0</v>
          </cell>
          <cell r="CL9">
            <v>0</v>
          </cell>
          <cell r="CM9">
            <v>0</v>
          </cell>
          <cell r="CN9">
            <v>0</v>
          </cell>
          <cell r="CO9">
            <v>0</v>
          </cell>
          <cell r="CP9">
            <v>0</v>
          </cell>
          <cell r="CQ9">
            <v>0</v>
          </cell>
          <cell r="CR9">
            <v>0</v>
          </cell>
          <cell r="CS9">
            <v>0</v>
          </cell>
          <cell r="CT9">
            <v>0</v>
          </cell>
          <cell r="CU9">
            <v>0</v>
          </cell>
          <cell r="CV9">
            <v>0</v>
          </cell>
          <cell r="CW9">
            <v>76.686274509803923</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9.8039215686274508E-2</v>
          </cell>
          <cell r="DN9">
            <v>621464.96078431339</v>
          </cell>
          <cell r="DO9">
            <v>9</v>
          </cell>
        </row>
        <row r="10">
          <cell r="A10" t="str">
            <v>Average of U.S. metro areas of 250,000 to 499,999</v>
          </cell>
          <cell r="B10">
            <v>12443.658536585366</v>
          </cell>
          <cell r="C10">
            <v>27010.317073170732</v>
          </cell>
          <cell r="D10">
            <v>30590.841463414636</v>
          </cell>
          <cell r="E10">
            <v>27283.646341463416</v>
          </cell>
          <cell r="F10">
            <v>23191.048780487807</v>
          </cell>
          <cell r="G10">
            <v>20448.060975609755</v>
          </cell>
          <cell r="H10">
            <v>16093.40243902439</v>
          </cell>
          <cell r="I10">
            <v>15146.365853658537</v>
          </cell>
          <cell r="J10">
            <v>13426.243902439024</v>
          </cell>
          <cell r="K10">
            <v>11023.085365853658</v>
          </cell>
          <cell r="L10">
            <v>10681.353658536585</v>
          </cell>
          <cell r="M10">
            <v>9455.7560975609758</v>
          </cell>
          <cell r="N10">
            <v>8227.8902439024387</v>
          </cell>
          <cell r="O10">
            <v>9325.5609756097565</v>
          </cell>
          <cell r="P10">
            <v>8283.878048780487</v>
          </cell>
          <cell r="Q10">
            <v>8353.6829268292677</v>
          </cell>
          <cell r="R10">
            <v>8172.792682926829</v>
          </cell>
          <cell r="S10">
            <v>5487.9024390243903</v>
          </cell>
          <cell r="T10">
            <v>5370.6097560975613</v>
          </cell>
          <cell r="U10">
            <v>4954.3414634146338</v>
          </cell>
          <cell r="V10">
            <v>3856.6707317073169</v>
          </cell>
          <cell r="W10">
            <v>4082.1829268292681</v>
          </cell>
          <cell r="X10">
            <v>4254.1951219512193</v>
          </cell>
          <cell r="Y10">
            <v>3401.7073170731705</v>
          </cell>
          <cell r="Z10">
            <v>4088.9146341463415</v>
          </cell>
          <cell r="AA10">
            <v>2633.768292682927</v>
          </cell>
          <cell r="AB10">
            <v>2480.3292682926831</v>
          </cell>
          <cell r="AC10">
            <v>1652.4268292682927</v>
          </cell>
          <cell r="AD10">
            <v>1194.0365853658536</v>
          </cell>
          <cell r="AE10">
            <v>1416.8902439024391</v>
          </cell>
          <cell r="AF10">
            <v>1539.1097560975609</v>
          </cell>
          <cell r="AG10">
            <v>1242.1951219512196</v>
          </cell>
          <cell r="AH10">
            <v>811.08536585365857</v>
          </cell>
          <cell r="AI10">
            <v>1133.8658536585365</v>
          </cell>
          <cell r="AJ10">
            <v>513.09756097560978</v>
          </cell>
          <cell r="AK10">
            <v>683.53658536585363</v>
          </cell>
          <cell r="AL10">
            <v>353.71951219512198</v>
          </cell>
          <cell r="AM10">
            <v>349.92682926829269</v>
          </cell>
          <cell r="AN10">
            <v>421.92682926829269</v>
          </cell>
          <cell r="AO10">
            <v>198.1829268292683</v>
          </cell>
          <cell r="AP10">
            <v>173.57317073170731</v>
          </cell>
          <cell r="AQ10">
            <v>115.90243902439025</v>
          </cell>
          <cell r="AR10">
            <v>183.10975609756099</v>
          </cell>
          <cell r="AS10">
            <v>211.58536585365854</v>
          </cell>
          <cell r="AT10">
            <v>39.426829268292686</v>
          </cell>
          <cell r="AU10">
            <v>205.03658536585365</v>
          </cell>
          <cell r="AV10">
            <v>346.82926829268291</v>
          </cell>
          <cell r="AW10">
            <v>23.23170731707317</v>
          </cell>
          <cell r="AX10">
            <v>183.45121951219511</v>
          </cell>
          <cell r="AY10">
            <v>69.670731707317074</v>
          </cell>
          <cell r="AZ10">
            <v>95.963414634146346</v>
          </cell>
          <cell r="BA10">
            <v>297.67073170731709</v>
          </cell>
          <cell r="BB10">
            <v>266.82926829268291</v>
          </cell>
          <cell r="BC10">
            <v>103.86585365853658</v>
          </cell>
          <cell r="BD10">
            <v>237.82926829268294</v>
          </cell>
          <cell r="BE10">
            <v>449.07317073170731</v>
          </cell>
          <cell r="BF10">
            <v>338.29268292682929</v>
          </cell>
          <cell r="BG10">
            <v>209.40243902439025</v>
          </cell>
          <cell r="BH10">
            <v>107.8780487804878</v>
          </cell>
          <cell r="BI10">
            <v>91.780487804878049</v>
          </cell>
          <cell r="BJ10">
            <v>0</v>
          </cell>
          <cell r="BK10">
            <v>60.707317073170735</v>
          </cell>
          <cell r="BL10">
            <v>73.890243902439025</v>
          </cell>
          <cell r="BM10">
            <v>41.304878048780488</v>
          </cell>
          <cell r="BN10">
            <v>20.463414634146343</v>
          </cell>
          <cell r="BO10">
            <v>0</v>
          </cell>
          <cell r="BP10">
            <v>47.243902439024389</v>
          </cell>
          <cell r="BQ10">
            <v>22.024390243902438</v>
          </cell>
          <cell r="BR10">
            <v>0</v>
          </cell>
          <cell r="BS10">
            <v>0</v>
          </cell>
          <cell r="BT10">
            <v>0</v>
          </cell>
          <cell r="BU10">
            <v>0</v>
          </cell>
          <cell r="BV10">
            <v>77</v>
          </cell>
          <cell r="BW10">
            <v>0</v>
          </cell>
          <cell r="BX10">
            <v>8.8292682926829276</v>
          </cell>
          <cell r="BY10">
            <v>0</v>
          </cell>
          <cell r="BZ10">
            <v>0</v>
          </cell>
          <cell r="CA10">
            <v>0</v>
          </cell>
          <cell r="CB10">
            <v>47</v>
          </cell>
          <cell r="CC10">
            <v>0</v>
          </cell>
          <cell r="CD10">
            <v>0</v>
          </cell>
          <cell r="CE10">
            <v>0</v>
          </cell>
          <cell r="CF10">
            <v>0</v>
          </cell>
          <cell r="CG10">
            <v>0</v>
          </cell>
          <cell r="CH10">
            <v>0</v>
          </cell>
          <cell r="CI10">
            <v>0</v>
          </cell>
          <cell r="CJ10">
            <v>0</v>
          </cell>
          <cell r="CK10">
            <v>0</v>
          </cell>
          <cell r="CL10">
            <v>43.048780487804876</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N10">
            <v>315470.12195121957</v>
          </cell>
          <cell r="DO10">
            <v>10</v>
          </cell>
        </row>
        <row r="11">
          <cell r="A11" t="str">
            <v>Average of U.S. metro areas of less than 250,000</v>
          </cell>
          <cell r="B11">
            <v>10818.043956043955</v>
          </cell>
          <cell r="C11">
            <v>19798.554945054944</v>
          </cell>
          <cell r="D11">
            <v>16189.675824175823</v>
          </cell>
          <cell r="E11">
            <v>12602.148351648351</v>
          </cell>
          <cell r="F11">
            <v>8830.8461538461543</v>
          </cell>
          <cell r="G11">
            <v>6809</v>
          </cell>
          <cell r="H11">
            <v>6011.302197802198</v>
          </cell>
          <cell r="I11">
            <v>5034.3956043956041</v>
          </cell>
          <cell r="J11">
            <v>4502.0109890109889</v>
          </cell>
          <cell r="K11">
            <v>4131.9780219780223</v>
          </cell>
          <cell r="L11">
            <v>4003.2252747252746</v>
          </cell>
          <cell r="M11">
            <v>3747.565934065934</v>
          </cell>
          <cell r="N11">
            <v>3336.3571428571427</v>
          </cell>
          <cell r="O11">
            <v>2799.6593406593406</v>
          </cell>
          <cell r="P11">
            <v>3104.697802197802</v>
          </cell>
          <cell r="Q11">
            <v>2482</v>
          </cell>
          <cell r="R11">
            <v>2123.0439560439559</v>
          </cell>
          <cell r="S11">
            <v>2005.1043956043957</v>
          </cell>
          <cell r="T11">
            <v>1977.6868131868132</v>
          </cell>
          <cell r="U11">
            <v>1399.2032967032967</v>
          </cell>
          <cell r="V11">
            <v>1410.434065934066</v>
          </cell>
          <cell r="W11">
            <v>1227.8516483516485</v>
          </cell>
          <cell r="X11">
            <v>1271.1923076923076</v>
          </cell>
          <cell r="Y11">
            <v>1199.4120879120878</v>
          </cell>
          <cell r="Z11">
            <v>989.45604395604391</v>
          </cell>
          <cell r="AA11">
            <v>999.21428571428567</v>
          </cell>
          <cell r="AB11">
            <v>724.14285714285711</v>
          </cell>
          <cell r="AC11">
            <v>401.35714285714283</v>
          </cell>
          <cell r="AD11">
            <v>580.42857142857144</v>
          </cell>
          <cell r="AE11">
            <v>512.56043956043959</v>
          </cell>
          <cell r="AF11">
            <v>533.40109890109886</v>
          </cell>
          <cell r="AG11">
            <v>176.28571428571428</v>
          </cell>
          <cell r="AH11">
            <v>244.74725274725276</v>
          </cell>
          <cell r="AI11">
            <v>326.36263736263737</v>
          </cell>
          <cell r="AJ11">
            <v>209.18131868131869</v>
          </cell>
          <cell r="AK11">
            <v>122.57142857142857</v>
          </cell>
          <cell r="AL11">
            <v>158.28021978021977</v>
          </cell>
          <cell r="AM11">
            <v>190.76923076923077</v>
          </cell>
          <cell r="AN11">
            <v>65.516483516483518</v>
          </cell>
          <cell r="AO11">
            <v>67.862637362637358</v>
          </cell>
          <cell r="AP11">
            <v>162.83516483516485</v>
          </cell>
          <cell r="AQ11">
            <v>177.08791208791209</v>
          </cell>
          <cell r="AR11">
            <v>72.098901098901095</v>
          </cell>
          <cell r="AS11">
            <v>84.445054945054949</v>
          </cell>
          <cell r="AT11">
            <v>118.71978021978022</v>
          </cell>
          <cell r="AU11">
            <v>36.505494505494504</v>
          </cell>
          <cell r="AV11">
            <v>100.29120879120879</v>
          </cell>
          <cell r="AW11">
            <v>36.85164835164835</v>
          </cell>
          <cell r="AX11">
            <v>0</v>
          </cell>
          <cell r="AY11">
            <v>11.126373626373626</v>
          </cell>
          <cell r="AZ11">
            <v>26.417582417582416</v>
          </cell>
          <cell r="BA11">
            <v>37.236263736263737</v>
          </cell>
          <cell r="BB11">
            <v>45.785714285714285</v>
          </cell>
          <cell r="BC11">
            <v>74.131868131868131</v>
          </cell>
          <cell r="BD11">
            <v>65.307692307692307</v>
          </cell>
          <cell r="BE11">
            <v>31.126373626373628</v>
          </cell>
          <cell r="BF11">
            <v>59.093406593406591</v>
          </cell>
          <cell r="BG11">
            <v>30.236263736263737</v>
          </cell>
          <cell r="BH11">
            <v>23.428571428571427</v>
          </cell>
          <cell r="BI11">
            <v>28.346153846153847</v>
          </cell>
          <cell r="BJ11">
            <v>0</v>
          </cell>
          <cell r="BK11">
            <v>0</v>
          </cell>
          <cell r="BL11">
            <v>0</v>
          </cell>
          <cell r="BM11">
            <v>0</v>
          </cell>
          <cell r="BN11">
            <v>0</v>
          </cell>
          <cell r="BO11">
            <v>20.076923076923077</v>
          </cell>
          <cell r="BP11">
            <v>0</v>
          </cell>
          <cell r="BQ11">
            <v>0</v>
          </cell>
          <cell r="BR11">
            <v>44.368131868131869</v>
          </cell>
          <cell r="BS11">
            <v>24.159340659340661</v>
          </cell>
          <cell r="BT11">
            <v>0</v>
          </cell>
          <cell r="BU11">
            <v>0</v>
          </cell>
          <cell r="BV11">
            <v>0</v>
          </cell>
          <cell r="BW11">
            <v>0</v>
          </cell>
          <cell r="BX11">
            <v>0</v>
          </cell>
          <cell r="BY11">
            <v>0</v>
          </cell>
          <cell r="BZ11">
            <v>0</v>
          </cell>
          <cell r="CA11">
            <v>12.17032967032967</v>
          </cell>
          <cell r="CB11">
            <v>10.873626373626374</v>
          </cell>
          <cell r="CC11">
            <v>0</v>
          </cell>
          <cell r="CD11">
            <v>0</v>
          </cell>
          <cell r="CE11">
            <v>0</v>
          </cell>
          <cell r="CF11">
            <v>14.093406593406593</v>
          </cell>
          <cell r="CG11">
            <v>0</v>
          </cell>
          <cell r="CH11">
            <v>0</v>
          </cell>
          <cell r="CI11">
            <v>0</v>
          </cell>
          <cell r="CJ11">
            <v>0</v>
          </cell>
          <cell r="CK11">
            <v>0</v>
          </cell>
          <cell r="CL11">
            <v>7.2692307692307692</v>
          </cell>
          <cell r="CM11">
            <v>0</v>
          </cell>
          <cell r="CN11">
            <v>0</v>
          </cell>
          <cell r="CO11">
            <v>0</v>
          </cell>
          <cell r="CP11">
            <v>0</v>
          </cell>
          <cell r="CQ11">
            <v>0</v>
          </cell>
          <cell r="CR11">
            <v>0</v>
          </cell>
          <cell r="CS11">
            <v>0</v>
          </cell>
          <cell r="CT11">
            <v>0</v>
          </cell>
          <cell r="CU11">
            <v>23.670329670329672</v>
          </cell>
          <cell r="CV11">
            <v>21.576923076923077</v>
          </cell>
          <cell r="CW11">
            <v>0</v>
          </cell>
          <cell r="CX11">
            <v>37.335164835164832</v>
          </cell>
          <cell r="CY11">
            <v>0</v>
          </cell>
          <cell r="CZ11">
            <v>10.302197802197803</v>
          </cell>
          <cell r="DA11">
            <v>0</v>
          </cell>
          <cell r="DB11">
            <v>0</v>
          </cell>
          <cell r="DC11">
            <v>0</v>
          </cell>
          <cell r="DD11">
            <v>0</v>
          </cell>
          <cell r="DE11">
            <v>0</v>
          </cell>
          <cell r="DF11">
            <v>0</v>
          </cell>
          <cell r="DG11">
            <v>0</v>
          </cell>
          <cell r="DH11">
            <v>0</v>
          </cell>
          <cell r="DI11">
            <v>0</v>
          </cell>
          <cell r="DJ11">
            <v>0</v>
          </cell>
          <cell r="DK11">
            <v>34.181318681318679</v>
          </cell>
          <cell r="DL11">
            <v>0</v>
          </cell>
          <cell r="DN11">
            <v>134598.67582417576</v>
          </cell>
          <cell r="DO11">
            <v>11</v>
          </cell>
        </row>
        <row r="12">
          <cell r="A12" t="str">
            <v>Abilene, TX Metro Area</v>
          </cell>
          <cell r="B12">
            <v>8718</v>
          </cell>
          <cell r="C12">
            <v>31190</v>
          </cell>
          <cell r="D12">
            <v>27846</v>
          </cell>
          <cell r="E12">
            <v>14352</v>
          </cell>
          <cell r="F12">
            <v>17786</v>
          </cell>
          <cell r="G12">
            <v>4066</v>
          </cell>
          <cell r="H12">
            <v>11431</v>
          </cell>
          <cell r="J12">
            <v>1632</v>
          </cell>
          <cell r="K12">
            <v>4651</v>
          </cell>
          <cell r="N12">
            <v>4071</v>
          </cell>
          <cell r="P12">
            <v>9540</v>
          </cell>
          <cell r="Q12">
            <v>11216</v>
          </cell>
          <cell r="Y12">
            <v>2889</v>
          </cell>
          <cell r="AD12">
            <v>4226</v>
          </cell>
          <cell r="AI12">
            <v>4117</v>
          </cell>
          <cell r="AM12">
            <v>2542</v>
          </cell>
          <cell r="DN12">
            <v>160273</v>
          </cell>
          <cell r="DO12">
            <v>12</v>
          </cell>
        </row>
        <row r="13">
          <cell r="A13" t="str">
            <v>Akron, OH Metro Area</v>
          </cell>
          <cell r="B13">
            <v>13588</v>
          </cell>
          <cell r="C13">
            <v>49043</v>
          </cell>
          <cell r="D13">
            <v>75638</v>
          </cell>
          <cell r="E13">
            <v>57512</v>
          </cell>
          <cell r="F13">
            <v>50577</v>
          </cell>
          <cell r="G13">
            <v>69834</v>
          </cell>
          <cell r="H13">
            <v>40066</v>
          </cell>
          <cell r="I13">
            <v>41061</v>
          </cell>
          <cell r="J13">
            <v>33394</v>
          </cell>
          <cell r="K13">
            <v>55194</v>
          </cell>
          <cell r="L13">
            <v>23010</v>
          </cell>
          <cell r="M13">
            <v>21207</v>
          </cell>
          <cell r="N13">
            <v>2495</v>
          </cell>
          <cell r="O13">
            <v>14238</v>
          </cell>
          <cell r="P13">
            <v>31134</v>
          </cell>
          <cell r="Q13">
            <v>26103</v>
          </cell>
          <cell r="R13">
            <v>5863</v>
          </cell>
          <cell r="S13">
            <v>21494</v>
          </cell>
          <cell r="T13">
            <v>18801</v>
          </cell>
          <cell r="U13">
            <v>14777</v>
          </cell>
          <cell r="W13">
            <v>5738</v>
          </cell>
          <cell r="X13">
            <v>2781</v>
          </cell>
          <cell r="Z13">
            <v>5996</v>
          </cell>
          <cell r="AA13">
            <v>5354</v>
          </cell>
          <cell r="AC13">
            <v>10090</v>
          </cell>
          <cell r="DN13">
            <v>694988</v>
          </cell>
          <cell r="DO13">
            <v>13</v>
          </cell>
        </row>
        <row r="14">
          <cell r="A14" t="str">
            <v>Albany, GA Metro Area</v>
          </cell>
          <cell r="B14">
            <v>3879</v>
          </cell>
          <cell r="C14">
            <v>20293</v>
          </cell>
          <cell r="D14">
            <v>22654</v>
          </cell>
          <cell r="E14">
            <v>15677</v>
          </cell>
          <cell r="F14">
            <v>20076</v>
          </cell>
          <cell r="G14">
            <v>7387</v>
          </cell>
          <cell r="H14">
            <v>5831</v>
          </cell>
          <cell r="I14">
            <v>15489</v>
          </cell>
          <cell r="J14">
            <v>1634</v>
          </cell>
          <cell r="L14">
            <v>6063</v>
          </cell>
          <cell r="O14">
            <v>1627</v>
          </cell>
          <cell r="R14">
            <v>11936</v>
          </cell>
          <cell r="S14">
            <v>5458</v>
          </cell>
          <cell r="V14">
            <v>1850</v>
          </cell>
          <cell r="W14">
            <v>3532</v>
          </cell>
          <cell r="X14">
            <v>6350</v>
          </cell>
          <cell r="Z14">
            <v>4638</v>
          </cell>
          <cell r="AA14">
            <v>2070</v>
          </cell>
          <cell r="AF14">
            <v>1430</v>
          </cell>
          <cell r="DN14">
            <v>157874</v>
          </cell>
          <cell r="DO14">
            <v>14</v>
          </cell>
        </row>
        <row r="15">
          <cell r="A15" t="str">
            <v>Albany-Schenectady-Troy, NY Metro Area</v>
          </cell>
          <cell r="B15">
            <v>19794</v>
          </cell>
          <cell r="C15">
            <v>55034</v>
          </cell>
          <cell r="D15">
            <v>21206</v>
          </cell>
          <cell r="E15">
            <v>32953</v>
          </cell>
          <cell r="F15">
            <v>41984</v>
          </cell>
          <cell r="G15">
            <v>49883</v>
          </cell>
          <cell r="H15">
            <v>48135</v>
          </cell>
          <cell r="I15">
            <v>11695</v>
          </cell>
          <cell r="J15">
            <v>58944</v>
          </cell>
          <cell r="K15">
            <v>33628</v>
          </cell>
          <cell r="L15">
            <v>28942</v>
          </cell>
          <cell r="M15">
            <v>18320</v>
          </cell>
          <cell r="N15">
            <v>44723</v>
          </cell>
          <cell r="O15">
            <v>44822</v>
          </cell>
          <cell r="P15">
            <v>42062</v>
          </cell>
          <cell r="Q15">
            <v>17167</v>
          </cell>
          <cell r="R15">
            <v>9893</v>
          </cell>
          <cell r="S15">
            <v>31574</v>
          </cell>
          <cell r="T15">
            <v>27881</v>
          </cell>
          <cell r="U15">
            <v>1896</v>
          </cell>
          <cell r="V15">
            <v>4124</v>
          </cell>
          <cell r="W15">
            <v>22812</v>
          </cell>
          <cell r="X15">
            <v>14784</v>
          </cell>
          <cell r="Z15">
            <v>1932</v>
          </cell>
          <cell r="AA15">
            <v>5739</v>
          </cell>
          <cell r="AB15">
            <v>11792</v>
          </cell>
          <cell r="AC15">
            <v>9628</v>
          </cell>
          <cell r="AD15">
            <v>17357</v>
          </cell>
          <cell r="AE15">
            <v>22579</v>
          </cell>
          <cell r="AF15">
            <v>1419</v>
          </cell>
          <cell r="AH15">
            <v>1727</v>
          </cell>
          <cell r="AI15">
            <v>14196</v>
          </cell>
          <cell r="AJ15">
            <v>7547</v>
          </cell>
          <cell r="AK15">
            <v>7446</v>
          </cell>
          <cell r="AL15">
            <v>5204</v>
          </cell>
          <cell r="AM15">
            <v>1173</v>
          </cell>
          <cell r="AO15">
            <v>6898</v>
          </cell>
          <cell r="AP15">
            <v>5235</v>
          </cell>
          <cell r="AQ15">
            <v>11535</v>
          </cell>
          <cell r="AS15">
            <v>4638</v>
          </cell>
          <cell r="AT15">
            <v>5640</v>
          </cell>
          <cell r="AV15">
            <v>1982</v>
          </cell>
          <cell r="DN15">
            <v>825923</v>
          </cell>
          <cell r="DO15">
            <v>15</v>
          </cell>
        </row>
        <row r="16">
          <cell r="A16" t="str">
            <v>Albuquerque, NM Metro Area</v>
          </cell>
          <cell r="B16">
            <v>17596</v>
          </cell>
          <cell r="C16">
            <v>22663</v>
          </cell>
          <cell r="D16">
            <v>48258</v>
          </cell>
          <cell r="E16">
            <v>60690</v>
          </cell>
          <cell r="F16">
            <v>71947</v>
          </cell>
          <cell r="G16">
            <v>67620</v>
          </cell>
          <cell r="H16">
            <v>64934</v>
          </cell>
          <cell r="I16">
            <v>72594</v>
          </cell>
          <cell r="J16">
            <v>74053</v>
          </cell>
          <cell r="K16">
            <v>32104</v>
          </cell>
          <cell r="L16">
            <v>18246</v>
          </cell>
          <cell r="M16">
            <v>24797</v>
          </cell>
          <cell r="N16">
            <v>8238</v>
          </cell>
          <cell r="O16">
            <v>3680</v>
          </cell>
          <cell r="P16">
            <v>10328</v>
          </cell>
          <cell r="Q16">
            <v>3814</v>
          </cell>
          <cell r="R16">
            <v>8931</v>
          </cell>
          <cell r="S16">
            <v>2482</v>
          </cell>
          <cell r="T16">
            <v>11446</v>
          </cell>
          <cell r="U16">
            <v>9308</v>
          </cell>
          <cell r="V16">
            <v>17057</v>
          </cell>
          <cell r="W16">
            <v>4397</v>
          </cell>
          <cell r="X16">
            <v>6160</v>
          </cell>
          <cell r="Y16">
            <v>6296</v>
          </cell>
          <cell r="Z16">
            <v>5956</v>
          </cell>
          <cell r="AA16">
            <v>5003</v>
          </cell>
          <cell r="AD16">
            <v>4218</v>
          </cell>
          <cell r="AE16">
            <v>6339</v>
          </cell>
          <cell r="AF16">
            <v>4884</v>
          </cell>
          <cell r="AG16">
            <v>4224</v>
          </cell>
          <cell r="AJ16">
            <v>5856</v>
          </cell>
          <cell r="AK16">
            <v>3138</v>
          </cell>
          <cell r="AL16">
            <v>10502</v>
          </cell>
          <cell r="AO16">
            <v>1746</v>
          </cell>
          <cell r="AQ16">
            <v>2846</v>
          </cell>
          <cell r="AW16">
            <v>2220</v>
          </cell>
          <cell r="BG16">
            <v>0</v>
          </cell>
          <cell r="BH16">
            <v>2180</v>
          </cell>
          <cell r="BS16">
            <v>2972</v>
          </cell>
          <cell r="DN16">
            <v>729723</v>
          </cell>
          <cell r="DO16">
            <v>16</v>
          </cell>
        </row>
        <row r="17">
          <cell r="A17" t="str">
            <v>Alexandria, LA Metro Area</v>
          </cell>
          <cell r="B17">
            <v>3597</v>
          </cell>
          <cell r="C17">
            <v>23898</v>
          </cell>
          <cell r="D17">
            <v>10332</v>
          </cell>
          <cell r="E17">
            <v>23078</v>
          </cell>
          <cell r="F17">
            <v>6736</v>
          </cell>
          <cell r="H17">
            <v>19129</v>
          </cell>
          <cell r="I17">
            <v>7105</v>
          </cell>
          <cell r="K17">
            <v>3590</v>
          </cell>
          <cell r="L17">
            <v>4456</v>
          </cell>
          <cell r="M17">
            <v>2684</v>
          </cell>
          <cell r="N17">
            <v>7370</v>
          </cell>
          <cell r="Q17">
            <v>11280</v>
          </cell>
          <cell r="T17">
            <v>4668</v>
          </cell>
          <cell r="U17">
            <v>2906</v>
          </cell>
          <cell r="W17">
            <v>5803</v>
          </cell>
          <cell r="AA17">
            <v>2388</v>
          </cell>
          <cell r="AB17">
            <v>2843</v>
          </cell>
          <cell r="AG17">
            <v>3225</v>
          </cell>
          <cell r="DN17">
            <v>145088</v>
          </cell>
          <cell r="DO17">
            <v>17</v>
          </cell>
        </row>
        <row r="18">
          <cell r="A18" t="str">
            <v>Allentown-Bethlehem-Easton, PA-NJ Metro Area</v>
          </cell>
          <cell r="B18">
            <v>33686</v>
          </cell>
          <cell r="C18">
            <v>59080</v>
          </cell>
          <cell r="D18">
            <v>35509</v>
          </cell>
          <cell r="E18">
            <v>43813</v>
          </cell>
          <cell r="F18">
            <v>47575</v>
          </cell>
          <cell r="G18">
            <v>52107</v>
          </cell>
          <cell r="H18">
            <v>57066</v>
          </cell>
          <cell r="I18">
            <v>35074</v>
          </cell>
          <cell r="J18">
            <v>23779</v>
          </cell>
          <cell r="K18">
            <v>26212</v>
          </cell>
          <cell r="L18">
            <v>4048</v>
          </cell>
          <cell r="M18">
            <v>17093</v>
          </cell>
          <cell r="N18">
            <v>43711</v>
          </cell>
          <cell r="O18">
            <v>31823</v>
          </cell>
          <cell r="P18">
            <v>17725</v>
          </cell>
          <cell r="Q18">
            <v>26076</v>
          </cell>
          <cell r="R18">
            <v>13121</v>
          </cell>
          <cell r="S18">
            <v>17423</v>
          </cell>
          <cell r="T18">
            <v>10223</v>
          </cell>
          <cell r="U18">
            <v>9245</v>
          </cell>
          <cell r="V18">
            <v>16377</v>
          </cell>
          <cell r="W18">
            <v>7636</v>
          </cell>
          <cell r="X18">
            <v>6945</v>
          </cell>
          <cell r="Y18">
            <v>7643</v>
          </cell>
          <cell r="AA18">
            <v>11162</v>
          </cell>
          <cell r="AB18">
            <v>16043</v>
          </cell>
          <cell r="AC18">
            <v>16214</v>
          </cell>
          <cell r="AD18">
            <v>2327</v>
          </cell>
          <cell r="AG18">
            <v>14299</v>
          </cell>
          <cell r="AH18">
            <v>1469</v>
          </cell>
          <cell r="AJ18">
            <v>8058</v>
          </cell>
          <cell r="AK18">
            <v>5746</v>
          </cell>
          <cell r="AL18">
            <v>5613</v>
          </cell>
          <cell r="AM18">
            <v>5017</v>
          </cell>
          <cell r="AN18">
            <v>7801</v>
          </cell>
          <cell r="AO18">
            <v>3590</v>
          </cell>
          <cell r="DN18">
            <v>740329</v>
          </cell>
          <cell r="DO18">
            <v>18</v>
          </cell>
        </row>
        <row r="19">
          <cell r="A19" t="str">
            <v>Altoona, PA Metro Area</v>
          </cell>
          <cell r="B19">
            <v>20850</v>
          </cell>
          <cell r="C19">
            <v>24873</v>
          </cell>
          <cell r="D19">
            <v>12859</v>
          </cell>
          <cell r="E19">
            <v>4081</v>
          </cell>
          <cell r="G19">
            <v>17378</v>
          </cell>
          <cell r="H19">
            <v>8344</v>
          </cell>
          <cell r="I19">
            <v>9761</v>
          </cell>
          <cell r="L19">
            <v>3747</v>
          </cell>
          <cell r="M19">
            <v>5376</v>
          </cell>
          <cell r="N19">
            <v>2511</v>
          </cell>
          <cell r="O19">
            <v>6958</v>
          </cell>
          <cell r="P19">
            <v>8447</v>
          </cell>
          <cell r="Q19">
            <v>3932</v>
          </cell>
          <cell r="DN19">
            <v>129117</v>
          </cell>
          <cell r="DO19">
            <v>19</v>
          </cell>
        </row>
        <row r="20">
          <cell r="A20" t="str">
            <v>Amarillo, TX Metro Area</v>
          </cell>
          <cell r="B20">
            <v>7920</v>
          </cell>
          <cell r="C20">
            <v>24480</v>
          </cell>
          <cell r="D20">
            <v>50448</v>
          </cell>
          <cell r="E20">
            <v>33211</v>
          </cell>
          <cell r="F20">
            <v>26981</v>
          </cell>
          <cell r="G20">
            <v>18177</v>
          </cell>
          <cell r="H20">
            <v>14105</v>
          </cell>
          <cell r="I20">
            <v>9521</v>
          </cell>
          <cell r="J20">
            <v>8074</v>
          </cell>
          <cell r="L20">
            <v>6008</v>
          </cell>
          <cell r="N20">
            <v>3832</v>
          </cell>
          <cell r="R20">
            <v>15074</v>
          </cell>
          <cell r="AA20">
            <v>3806</v>
          </cell>
          <cell r="AB20">
            <v>2150</v>
          </cell>
          <cell r="AP20">
            <v>2701</v>
          </cell>
          <cell r="DN20">
            <v>226488</v>
          </cell>
          <cell r="DO20">
            <v>20</v>
          </cell>
        </row>
        <row r="21">
          <cell r="A21" t="str">
            <v>Ames, IA Metro Area</v>
          </cell>
          <cell r="B21">
            <v>8286</v>
          </cell>
          <cell r="C21">
            <v>23877</v>
          </cell>
          <cell r="D21">
            <v>14082</v>
          </cell>
          <cell r="E21">
            <v>9336</v>
          </cell>
          <cell r="J21">
            <v>13084</v>
          </cell>
          <cell r="L21">
            <v>5329</v>
          </cell>
          <cell r="P21">
            <v>3980</v>
          </cell>
          <cell r="R21">
            <v>2014</v>
          </cell>
          <cell r="DN21">
            <v>79988</v>
          </cell>
          <cell r="DO21">
            <v>21</v>
          </cell>
        </row>
        <row r="22">
          <cell r="A22" t="str">
            <v>Anchorage, AK Metro Area</v>
          </cell>
          <cell r="B22">
            <v>8775</v>
          </cell>
          <cell r="C22">
            <v>17395</v>
          </cell>
          <cell r="D22">
            <v>44546</v>
          </cell>
          <cell r="E22">
            <v>18761</v>
          </cell>
          <cell r="F22">
            <v>47442</v>
          </cell>
          <cell r="G22">
            <v>42956</v>
          </cell>
          <cell r="H22">
            <v>11602</v>
          </cell>
          <cell r="I22">
            <v>19950</v>
          </cell>
          <cell r="J22">
            <v>9444</v>
          </cell>
          <cell r="K22">
            <v>4022</v>
          </cell>
          <cell r="L22">
            <v>3420</v>
          </cell>
          <cell r="O22">
            <v>18175</v>
          </cell>
          <cell r="Q22">
            <v>2454</v>
          </cell>
          <cell r="S22">
            <v>4473</v>
          </cell>
          <cell r="V22">
            <v>6732</v>
          </cell>
          <cell r="W22">
            <v>1286</v>
          </cell>
          <cell r="Y22">
            <v>3928</v>
          </cell>
          <cell r="AB22">
            <v>2585</v>
          </cell>
          <cell r="AC22">
            <v>3277</v>
          </cell>
          <cell r="AD22">
            <v>4103</v>
          </cell>
          <cell r="AE22">
            <v>3791</v>
          </cell>
          <cell r="AF22">
            <v>2444</v>
          </cell>
          <cell r="AG22">
            <v>5638</v>
          </cell>
          <cell r="AH22">
            <v>5918</v>
          </cell>
          <cell r="AI22">
            <v>3577</v>
          </cell>
          <cell r="AJ22">
            <v>2328</v>
          </cell>
          <cell r="AL22">
            <v>6708</v>
          </cell>
          <cell r="AM22">
            <v>5949</v>
          </cell>
          <cell r="AN22">
            <v>3761</v>
          </cell>
          <cell r="BE22">
            <v>1649</v>
          </cell>
          <cell r="BQ22">
            <v>1806</v>
          </cell>
          <cell r="BX22">
            <v>724</v>
          </cell>
          <cell r="DN22">
            <v>319619</v>
          </cell>
          <cell r="DO22">
            <v>22</v>
          </cell>
        </row>
        <row r="23">
          <cell r="A23" t="str">
            <v>Anderson, IN Metro Area</v>
          </cell>
          <cell r="B23">
            <v>8087</v>
          </cell>
          <cell r="C23">
            <v>34034</v>
          </cell>
          <cell r="D23">
            <v>13786</v>
          </cell>
          <cell r="E23">
            <v>13228</v>
          </cell>
          <cell r="F23">
            <v>6563</v>
          </cell>
          <cell r="G23">
            <v>3449</v>
          </cell>
          <cell r="H23">
            <v>6465</v>
          </cell>
          <cell r="I23">
            <v>3777</v>
          </cell>
          <cell r="J23">
            <v>11025</v>
          </cell>
          <cell r="K23">
            <v>3691</v>
          </cell>
          <cell r="L23">
            <v>10239</v>
          </cell>
          <cell r="N23">
            <v>6548</v>
          </cell>
          <cell r="O23">
            <v>3501</v>
          </cell>
          <cell r="P23">
            <v>5710</v>
          </cell>
          <cell r="Q23">
            <v>3218</v>
          </cell>
          <cell r="DN23">
            <v>133321</v>
          </cell>
          <cell r="DO23">
            <v>23</v>
          </cell>
        </row>
        <row r="24">
          <cell r="A24" t="str">
            <v>Anderson, SC Metro Area</v>
          </cell>
          <cell r="B24">
            <v>8819</v>
          </cell>
          <cell r="C24">
            <v>12378</v>
          </cell>
          <cell r="D24">
            <v>14361</v>
          </cell>
          <cell r="E24">
            <v>10164</v>
          </cell>
          <cell r="F24">
            <v>11274</v>
          </cell>
          <cell r="G24">
            <v>18002</v>
          </cell>
          <cell r="I24">
            <v>9526</v>
          </cell>
          <cell r="J24">
            <v>4036</v>
          </cell>
          <cell r="K24">
            <v>16914</v>
          </cell>
          <cell r="L24">
            <v>5337</v>
          </cell>
          <cell r="M24">
            <v>4277</v>
          </cell>
          <cell r="N24">
            <v>17114</v>
          </cell>
          <cell r="O24">
            <v>3994</v>
          </cell>
          <cell r="P24">
            <v>9922</v>
          </cell>
          <cell r="S24">
            <v>5947</v>
          </cell>
          <cell r="T24">
            <v>8642</v>
          </cell>
          <cell r="W24">
            <v>5127</v>
          </cell>
          <cell r="DN24">
            <v>165834</v>
          </cell>
          <cell r="DO24">
            <v>24</v>
          </cell>
        </row>
        <row r="25">
          <cell r="A25" t="str">
            <v>Ann Arbor, MI Metro Area</v>
          </cell>
          <cell r="B25">
            <v>32987</v>
          </cell>
          <cell r="C25">
            <v>28129</v>
          </cell>
          <cell r="D25">
            <v>36115</v>
          </cell>
          <cell r="E25">
            <v>35225</v>
          </cell>
          <cell r="F25">
            <v>14588</v>
          </cell>
          <cell r="G25">
            <v>20282</v>
          </cell>
          <cell r="H25">
            <v>25216</v>
          </cell>
          <cell r="I25">
            <v>22883</v>
          </cell>
          <cell r="J25">
            <v>32224</v>
          </cell>
          <cell r="K25">
            <v>30969</v>
          </cell>
          <cell r="L25">
            <v>8122</v>
          </cell>
          <cell r="M25">
            <v>4668</v>
          </cell>
          <cell r="N25">
            <v>5293</v>
          </cell>
          <cell r="O25">
            <v>6948</v>
          </cell>
          <cell r="P25">
            <v>9602</v>
          </cell>
          <cell r="R25">
            <v>2764</v>
          </cell>
          <cell r="T25">
            <v>6810</v>
          </cell>
          <cell r="DN25">
            <v>322825</v>
          </cell>
          <cell r="DO25">
            <v>25</v>
          </cell>
        </row>
        <row r="26">
          <cell r="A26" t="str">
            <v>Anniston-Oxford, AL Metro Area</v>
          </cell>
          <cell r="B26">
            <v>6932</v>
          </cell>
          <cell r="C26">
            <v>12463</v>
          </cell>
          <cell r="D26">
            <v>2456</v>
          </cell>
          <cell r="E26">
            <v>16476</v>
          </cell>
          <cell r="F26">
            <v>14727</v>
          </cell>
          <cell r="G26">
            <v>3954</v>
          </cell>
          <cell r="H26">
            <v>16</v>
          </cell>
          <cell r="I26">
            <v>17504</v>
          </cell>
          <cell r="J26">
            <v>6607</v>
          </cell>
          <cell r="K26">
            <v>13</v>
          </cell>
          <cell r="L26">
            <v>4620</v>
          </cell>
          <cell r="M26">
            <v>2650</v>
          </cell>
          <cell r="N26">
            <v>2604</v>
          </cell>
          <cell r="P26">
            <v>8696</v>
          </cell>
          <cell r="Q26">
            <v>4349</v>
          </cell>
          <cell r="W26">
            <v>3782</v>
          </cell>
          <cell r="X26">
            <v>4064</v>
          </cell>
          <cell r="DN26">
            <v>111913</v>
          </cell>
          <cell r="DO26">
            <v>26</v>
          </cell>
        </row>
        <row r="27">
          <cell r="A27" t="str">
            <v>Appleton, WI Metro Area</v>
          </cell>
          <cell r="B27">
            <v>14448</v>
          </cell>
          <cell r="C27">
            <v>37382</v>
          </cell>
          <cell r="D27">
            <v>29887</v>
          </cell>
          <cell r="E27">
            <v>17613</v>
          </cell>
          <cell r="F27">
            <v>8677</v>
          </cell>
          <cell r="G27">
            <v>7967</v>
          </cell>
          <cell r="H27">
            <v>20158</v>
          </cell>
          <cell r="I27">
            <v>8249</v>
          </cell>
          <cell r="K27">
            <v>5248</v>
          </cell>
          <cell r="M27">
            <v>3929</v>
          </cell>
          <cell r="N27">
            <v>7058</v>
          </cell>
          <cell r="P27">
            <v>5739</v>
          </cell>
          <cell r="R27">
            <v>8051</v>
          </cell>
          <cell r="S27">
            <v>13431</v>
          </cell>
          <cell r="U27">
            <v>4860</v>
          </cell>
          <cell r="V27">
            <v>4019</v>
          </cell>
          <cell r="AC27">
            <v>5057</v>
          </cell>
          <cell r="DN27">
            <v>201773</v>
          </cell>
          <cell r="DO27">
            <v>27</v>
          </cell>
        </row>
        <row r="28">
          <cell r="A28" t="str">
            <v>Asheville, NC Metro Area</v>
          </cell>
          <cell r="B28">
            <v>6409</v>
          </cell>
          <cell r="C28">
            <v>17298</v>
          </cell>
          <cell r="D28">
            <v>23467</v>
          </cell>
          <cell r="E28">
            <v>17659</v>
          </cell>
          <cell r="F28">
            <v>14787</v>
          </cell>
          <cell r="G28">
            <v>13148</v>
          </cell>
          <cell r="H28">
            <v>18121</v>
          </cell>
          <cell r="I28">
            <v>21066</v>
          </cell>
          <cell r="J28">
            <v>10151</v>
          </cell>
          <cell r="K28">
            <v>25811</v>
          </cell>
          <cell r="L28">
            <v>14889</v>
          </cell>
          <cell r="M28">
            <v>8909</v>
          </cell>
          <cell r="N28">
            <v>13118</v>
          </cell>
          <cell r="O28">
            <v>8722</v>
          </cell>
          <cell r="P28">
            <v>3266</v>
          </cell>
          <cell r="Q28">
            <v>12822</v>
          </cell>
          <cell r="R28">
            <v>23472</v>
          </cell>
          <cell r="S28">
            <v>5789</v>
          </cell>
          <cell r="T28">
            <v>18189</v>
          </cell>
          <cell r="U28">
            <v>15550</v>
          </cell>
          <cell r="V28">
            <v>10626</v>
          </cell>
          <cell r="W28">
            <v>17830</v>
          </cell>
          <cell r="X28">
            <v>7786</v>
          </cell>
          <cell r="Y28">
            <v>5551</v>
          </cell>
          <cell r="Z28">
            <v>8603</v>
          </cell>
          <cell r="AA28">
            <v>6266</v>
          </cell>
          <cell r="AB28">
            <v>5698</v>
          </cell>
          <cell r="AC28">
            <v>8650</v>
          </cell>
          <cell r="AD28">
            <v>2522</v>
          </cell>
          <cell r="AF28">
            <v>2998</v>
          </cell>
          <cell r="AI28">
            <v>4</v>
          </cell>
          <cell r="DN28">
            <v>369177</v>
          </cell>
          <cell r="DO28">
            <v>28</v>
          </cell>
        </row>
        <row r="29">
          <cell r="A29" t="str">
            <v>Athens-Clarke County, GA Metro Area</v>
          </cell>
          <cell r="B29">
            <v>15685</v>
          </cell>
          <cell r="C29">
            <v>18526</v>
          </cell>
          <cell r="D29">
            <v>15007</v>
          </cell>
          <cell r="E29">
            <v>16121</v>
          </cell>
          <cell r="F29">
            <v>30590</v>
          </cell>
          <cell r="G29">
            <v>8580</v>
          </cell>
          <cell r="H29">
            <v>8840</v>
          </cell>
          <cell r="I29">
            <v>6097</v>
          </cell>
          <cell r="K29">
            <v>20243</v>
          </cell>
          <cell r="M29">
            <v>3704</v>
          </cell>
          <cell r="Q29">
            <v>13466</v>
          </cell>
          <cell r="S29">
            <v>3907</v>
          </cell>
          <cell r="U29">
            <v>1690</v>
          </cell>
          <cell r="W29">
            <v>3563</v>
          </cell>
          <cell r="DN29">
            <v>166019</v>
          </cell>
          <cell r="DO29">
            <v>29</v>
          </cell>
        </row>
        <row r="30">
          <cell r="A30" t="str">
            <v>Atlanta-Sandy Springs-Marietta, GA Metro Area</v>
          </cell>
          <cell r="B30">
            <v>19663</v>
          </cell>
          <cell r="C30">
            <v>56320</v>
          </cell>
          <cell r="D30">
            <v>77083</v>
          </cell>
          <cell r="E30">
            <v>74312</v>
          </cell>
          <cell r="F30">
            <v>75405</v>
          </cell>
          <cell r="G30">
            <v>109118</v>
          </cell>
          <cell r="H30">
            <v>89954</v>
          </cell>
          <cell r="I30">
            <v>111116</v>
          </cell>
          <cell r="J30">
            <v>112166</v>
          </cell>
          <cell r="K30">
            <v>126246</v>
          </cell>
          <cell r="L30">
            <v>148144</v>
          </cell>
          <cell r="M30">
            <v>167549</v>
          </cell>
          <cell r="N30">
            <v>145133</v>
          </cell>
          <cell r="O30">
            <v>125868</v>
          </cell>
          <cell r="P30">
            <v>187825</v>
          </cell>
          <cell r="Q30">
            <v>146955</v>
          </cell>
          <cell r="R30">
            <v>162893</v>
          </cell>
          <cell r="S30">
            <v>117976</v>
          </cell>
          <cell r="T30">
            <v>111766</v>
          </cell>
          <cell r="U30">
            <v>160927</v>
          </cell>
          <cell r="V30">
            <v>131228</v>
          </cell>
          <cell r="W30">
            <v>109962</v>
          </cell>
          <cell r="X30">
            <v>157662</v>
          </cell>
          <cell r="Y30">
            <v>110627</v>
          </cell>
          <cell r="Z30">
            <v>148966</v>
          </cell>
          <cell r="AA30">
            <v>111775</v>
          </cell>
          <cell r="AB30">
            <v>97307</v>
          </cell>
          <cell r="AC30">
            <v>106597</v>
          </cell>
          <cell r="AD30">
            <v>65395</v>
          </cell>
          <cell r="AE30">
            <v>75840</v>
          </cell>
          <cell r="AF30">
            <v>62879</v>
          </cell>
          <cell r="AG30">
            <v>46994</v>
          </cell>
          <cell r="AH30">
            <v>78720</v>
          </cell>
          <cell r="AI30">
            <v>64587</v>
          </cell>
          <cell r="AJ30">
            <v>47427</v>
          </cell>
          <cell r="AK30">
            <v>34927</v>
          </cell>
          <cell r="AL30">
            <v>40902</v>
          </cell>
          <cell r="AM30">
            <v>41269</v>
          </cell>
          <cell r="AN30">
            <v>57108</v>
          </cell>
          <cell r="AO30">
            <v>37357</v>
          </cell>
          <cell r="AP30">
            <v>52086</v>
          </cell>
          <cell r="AQ30">
            <v>13747</v>
          </cell>
          <cell r="AR30">
            <v>44370</v>
          </cell>
          <cell r="AS30">
            <v>19166</v>
          </cell>
          <cell r="AT30">
            <v>20244</v>
          </cell>
          <cell r="AU30">
            <v>21802</v>
          </cell>
          <cell r="AV30">
            <v>15411</v>
          </cell>
          <cell r="AW30">
            <v>3061</v>
          </cell>
          <cell r="AX30">
            <v>21573</v>
          </cell>
          <cell r="AY30">
            <v>11399</v>
          </cell>
          <cell r="AZ30">
            <v>23213</v>
          </cell>
          <cell r="BA30">
            <v>25998</v>
          </cell>
          <cell r="BB30">
            <v>3485</v>
          </cell>
          <cell r="BC30">
            <v>5907</v>
          </cell>
          <cell r="BG30">
            <v>2748</v>
          </cell>
          <cell r="BK30">
            <v>3337</v>
          </cell>
          <cell r="BL30">
            <v>6119</v>
          </cell>
          <cell r="DN30">
            <v>4247614</v>
          </cell>
          <cell r="DO30">
            <v>30</v>
          </cell>
        </row>
        <row r="31">
          <cell r="A31" t="str">
            <v>Atlantic City-Hammonton, NJ Metro Area</v>
          </cell>
          <cell r="B31">
            <v>23452</v>
          </cell>
          <cell r="C31">
            <v>13837</v>
          </cell>
          <cell r="D31">
            <v>12204</v>
          </cell>
          <cell r="E31">
            <v>12109</v>
          </cell>
          <cell r="F31">
            <v>10385</v>
          </cell>
          <cell r="G31">
            <v>18903</v>
          </cell>
          <cell r="H31">
            <v>21203</v>
          </cell>
          <cell r="I31">
            <v>18812</v>
          </cell>
          <cell r="J31">
            <v>3196</v>
          </cell>
          <cell r="K31">
            <v>33272</v>
          </cell>
          <cell r="L31">
            <v>10989</v>
          </cell>
          <cell r="M31">
            <v>6125</v>
          </cell>
          <cell r="O31">
            <v>16800</v>
          </cell>
          <cell r="R31">
            <v>4508</v>
          </cell>
          <cell r="S31">
            <v>4572</v>
          </cell>
          <cell r="U31">
            <v>4308</v>
          </cell>
          <cell r="V31">
            <v>11964</v>
          </cell>
          <cell r="AB31">
            <v>7142</v>
          </cell>
          <cell r="AC31">
            <v>7439</v>
          </cell>
          <cell r="AD31">
            <v>8092</v>
          </cell>
          <cell r="AE31">
            <v>3896</v>
          </cell>
          <cell r="DN31">
            <v>253208</v>
          </cell>
          <cell r="DO31">
            <v>31</v>
          </cell>
        </row>
        <row r="32">
          <cell r="A32" t="str">
            <v>Auburn-Opelika, AL Metro Area</v>
          </cell>
          <cell r="B32">
            <v>20163</v>
          </cell>
          <cell r="C32">
            <v>13136</v>
          </cell>
          <cell r="D32">
            <v>5344</v>
          </cell>
          <cell r="E32">
            <v>10389</v>
          </cell>
          <cell r="F32">
            <v>3461</v>
          </cell>
          <cell r="G32">
            <v>7286</v>
          </cell>
          <cell r="I32">
            <v>14715</v>
          </cell>
          <cell r="J32">
            <v>3276</v>
          </cell>
          <cell r="N32">
            <v>5892</v>
          </cell>
          <cell r="R32">
            <v>5543</v>
          </cell>
          <cell r="U32">
            <v>6381</v>
          </cell>
          <cell r="W32">
            <v>2678</v>
          </cell>
          <cell r="X32">
            <v>3576</v>
          </cell>
          <cell r="Y32">
            <v>1994</v>
          </cell>
          <cell r="Z32">
            <v>6712</v>
          </cell>
          <cell r="AB32">
            <v>4472</v>
          </cell>
          <cell r="DN32">
            <v>115018</v>
          </cell>
          <cell r="DO32">
            <v>32</v>
          </cell>
        </row>
        <row r="33">
          <cell r="A33" t="str">
            <v>Augusta-Richmond County, GA-SC Metro Area</v>
          </cell>
          <cell r="B33">
            <v>6076</v>
          </cell>
          <cell r="C33">
            <v>16251</v>
          </cell>
          <cell r="D33">
            <v>15802</v>
          </cell>
          <cell r="E33">
            <v>37970</v>
          </cell>
          <cell r="F33">
            <v>17594</v>
          </cell>
          <cell r="G33">
            <v>32574</v>
          </cell>
          <cell r="H33">
            <v>35112</v>
          </cell>
          <cell r="I33">
            <v>36626</v>
          </cell>
          <cell r="J33">
            <v>27108</v>
          </cell>
          <cell r="K33">
            <v>30875</v>
          </cell>
          <cell r="L33">
            <v>31855</v>
          </cell>
          <cell r="M33">
            <v>23822</v>
          </cell>
          <cell r="N33">
            <v>14267</v>
          </cell>
          <cell r="O33">
            <v>38548</v>
          </cell>
          <cell r="P33">
            <v>1706</v>
          </cell>
          <cell r="Q33">
            <v>26965</v>
          </cell>
          <cell r="R33">
            <v>5102</v>
          </cell>
          <cell r="S33">
            <v>2954</v>
          </cell>
          <cell r="T33">
            <v>14902</v>
          </cell>
          <cell r="U33">
            <v>5</v>
          </cell>
          <cell r="V33">
            <v>7320</v>
          </cell>
          <cell r="W33">
            <v>7407</v>
          </cell>
          <cell r="X33">
            <v>9096</v>
          </cell>
          <cell r="Z33">
            <v>2538</v>
          </cell>
          <cell r="AA33">
            <v>19330</v>
          </cell>
          <cell r="AD33">
            <v>5079</v>
          </cell>
          <cell r="AE33">
            <v>5064</v>
          </cell>
          <cell r="AF33">
            <v>6707</v>
          </cell>
          <cell r="AG33">
            <v>5622</v>
          </cell>
          <cell r="AH33">
            <v>3089</v>
          </cell>
          <cell r="AJ33">
            <v>7554</v>
          </cell>
          <cell r="AM33">
            <v>2585</v>
          </cell>
          <cell r="AN33">
            <v>2206</v>
          </cell>
          <cell r="DN33">
            <v>499711</v>
          </cell>
          <cell r="DO33">
            <v>33</v>
          </cell>
        </row>
        <row r="34">
          <cell r="A34" t="str">
            <v>Austin-Round Rock-San Marcos, TX Metro Area</v>
          </cell>
          <cell r="B34">
            <v>2383</v>
          </cell>
          <cell r="C34">
            <v>61365</v>
          </cell>
          <cell r="D34">
            <v>89013</v>
          </cell>
          <cell r="E34">
            <v>51697</v>
          </cell>
          <cell r="F34">
            <v>74112</v>
          </cell>
          <cell r="G34">
            <v>97363</v>
          </cell>
          <cell r="H34">
            <v>70806</v>
          </cell>
          <cell r="I34">
            <v>73442</v>
          </cell>
          <cell r="J34">
            <v>48758</v>
          </cell>
          <cell r="K34">
            <v>42302</v>
          </cell>
          <cell r="L34">
            <v>52059</v>
          </cell>
          <cell r="M34">
            <v>38202</v>
          </cell>
          <cell r="N34">
            <v>47656</v>
          </cell>
          <cell r="O34">
            <v>35881</v>
          </cell>
          <cell r="P34">
            <v>21702</v>
          </cell>
          <cell r="Q34">
            <v>48043</v>
          </cell>
          <cell r="R34">
            <v>37602</v>
          </cell>
          <cell r="S34">
            <v>41012</v>
          </cell>
          <cell r="T34">
            <v>29133</v>
          </cell>
          <cell r="U34">
            <v>32275</v>
          </cell>
          <cell r="V34">
            <v>16748</v>
          </cell>
          <cell r="W34">
            <v>13845</v>
          </cell>
          <cell r="X34">
            <v>23691</v>
          </cell>
          <cell r="Y34">
            <v>10540</v>
          </cell>
          <cell r="Z34">
            <v>4242</v>
          </cell>
          <cell r="AA34">
            <v>13397</v>
          </cell>
          <cell r="AB34">
            <v>21303</v>
          </cell>
          <cell r="AC34">
            <v>31360</v>
          </cell>
          <cell r="AD34">
            <v>36426</v>
          </cell>
          <cell r="AE34">
            <v>15228</v>
          </cell>
          <cell r="AF34">
            <v>20494</v>
          </cell>
          <cell r="AG34">
            <v>6771</v>
          </cell>
          <cell r="AH34">
            <v>12039</v>
          </cell>
          <cell r="AJ34">
            <v>3829</v>
          </cell>
          <cell r="AL34">
            <v>4439</v>
          </cell>
          <cell r="AM34">
            <v>5122</v>
          </cell>
          <cell r="AN34">
            <v>4421</v>
          </cell>
          <cell r="AO34">
            <v>4201</v>
          </cell>
          <cell r="AP34">
            <v>7068</v>
          </cell>
          <cell r="DN34">
            <v>1249970</v>
          </cell>
          <cell r="DO34">
            <v>34</v>
          </cell>
        </row>
        <row r="35">
          <cell r="A35" t="str">
            <v>Bakersfield-Delano, CA Metro Area</v>
          </cell>
          <cell r="B35">
            <v>16922</v>
          </cell>
          <cell r="C35">
            <v>30931</v>
          </cell>
          <cell r="D35">
            <v>74333</v>
          </cell>
          <cell r="E35">
            <v>59651</v>
          </cell>
          <cell r="F35">
            <v>103214</v>
          </cell>
          <cell r="G35">
            <v>36304</v>
          </cell>
          <cell r="H35">
            <v>54396</v>
          </cell>
          <cell r="I35">
            <v>4102</v>
          </cell>
          <cell r="J35">
            <v>10191</v>
          </cell>
          <cell r="K35">
            <v>12410</v>
          </cell>
          <cell r="L35">
            <v>4703</v>
          </cell>
          <cell r="M35">
            <v>3123</v>
          </cell>
          <cell r="Q35">
            <v>9194</v>
          </cell>
          <cell r="R35">
            <v>14604</v>
          </cell>
          <cell r="S35">
            <v>4795</v>
          </cell>
          <cell r="T35">
            <v>1123</v>
          </cell>
          <cell r="V35">
            <v>3045</v>
          </cell>
          <cell r="Y35">
            <v>15474</v>
          </cell>
          <cell r="Z35">
            <v>10137</v>
          </cell>
          <cell r="AA35">
            <v>5504</v>
          </cell>
          <cell r="AB35">
            <v>10928</v>
          </cell>
          <cell r="AD35">
            <v>3555</v>
          </cell>
          <cell r="AE35">
            <v>15229</v>
          </cell>
          <cell r="AF35">
            <v>27221</v>
          </cell>
          <cell r="AG35">
            <v>10081</v>
          </cell>
          <cell r="AH35">
            <v>9359</v>
          </cell>
          <cell r="AI35">
            <v>8686</v>
          </cell>
          <cell r="AJ35">
            <v>4856</v>
          </cell>
          <cell r="AL35">
            <v>10206</v>
          </cell>
          <cell r="AM35">
            <v>1300</v>
          </cell>
          <cell r="AN35">
            <v>3145</v>
          </cell>
          <cell r="AO35">
            <v>9043</v>
          </cell>
          <cell r="AQ35">
            <v>4243</v>
          </cell>
          <cell r="BB35">
            <v>3285</v>
          </cell>
          <cell r="BF35">
            <v>4907</v>
          </cell>
          <cell r="BI35">
            <v>4149</v>
          </cell>
          <cell r="BJ35">
            <v>6236</v>
          </cell>
          <cell r="BK35">
            <v>3232</v>
          </cell>
          <cell r="BL35">
            <v>5014</v>
          </cell>
          <cell r="BO35">
            <v>2587</v>
          </cell>
          <cell r="BR35">
            <v>6577</v>
          </cell>
          <cell r="BW35">
            <v>5683</v>
          </cell>
          <cell r="BZ35">
            <v>6867</v>
          </cell>
          <cell r="CA35">
            <v>10434</v>
          </cell>
          <cell r="CB35">
            <v>6755</v>
          </cell>
          <cell r="CC35">
            <v>1873</v>
          </cell>
          <cell r="CD35">
            <v>2025</v>
          </cell>
          <cell r="DN35">
            <v>661632</v>
          </cell>
          <cell r="DO35">
            <v>35</v>
          </cell>
        </row>
        <row r="36">
          <cell r="A36" t="str">
            <v>Baltimore-Towson, MD Metro Area</v>
          </cell>
          <cell r="B36">
            <v>36288</v>
          </cell>
          <cell r="C36">
            <v>129682</v>
          </cell>
          <cell r="D36">
            <v>111605</v>
          </cell>
          <cell r="E36">
            <v>135857</v>
          </cell>
          <cell r="F36">
            <v>160432</v>
          </cell>
          <cell r="G36">
            <v>161217</v>
          </cell>
          <cell r="H36">
            <v>139994</v>
          </cell>
          <cell r="I36">
            <v>130805</v>
          </cell>
          <cell r="J36">
            <v>124630</v>
          </cell>
          <cell r="K36">
            <v>100635</v>
          </cell>
          <cell r="L36">
            <v>135179</v>
          </cell>
          <cell r="M36">
            <v>86014</v>
          </cell>
          <cell r="N36">
            <v>115814</v>
          </cell>
          <cell r="O36">
            <v>80326</v>
          </cell>
          <cell r="P36">
            <v>80513</v>
          </cell>
          <cell r="Q36">
            <v>85314</v>
          </cell>
          <cell r="R36">
            <v>59415</v>
          </cell>
          <cell r="S36">
            <v>53096</v>
          </cell>
          <cell r="T36">
            <v>57036</v>
          </cell>
          <cell r="U36">
            <v>53175</v>
          </cell>
          <cell r="V36">
            <v>62683</v>
          </cell>
          <cell r="W36">
            <v>45600</v>
          </cell>
          <cell r="X36">
            <v>81718</v>
          </cell>
          <cell r="Y36">
            <v>31458</v>
          </cell>
          <cell r="Z36">
            <v>49159</v>
          </cell>
          <cell r="AA36">
            <v>17732</v>
          </cell>
          <cell r="AB36">
            <v>20892</v>
          </cell>
          <cell r="AC36">
            <v>48761</v>
          </cell>
          <cell r="AD36">
            <v>25483</v>
          </cell>
          <cell r="AE36">
            <v>23082</v>
          </cell>
          <cell r="AF36">
            <v>26233</v>
          </cell>
          <cell r="AG36">
            <v>11020</v>
          </cell>
          <cell r="AH36">
            <v>17508</v>
          </cell>
          <cell r="AI36">
            <v>13266</v>
          </cell>
          <cell r="AJ36">
            <v>13715</v>
          </cell>
          <cell r="AK36">
            <v>6957</v>
          </cell>
          <cell r="AM36">
            <v>9127</v>
          </cell>
          <cell r="AN36">
            <v>3406</v>
          </cell>
          <cell r="AO36">
            <v>5866</v>
          </cell>
          <cell r="AR36">
            <v>2423</v>
          </cell>
          <cell r="DN36">
            <v>2553116</v>
          </cell>
          <cell r="DO36">
            <v>36</v>
          </cell>
        </row>
        <row r="37">
          <cell r="A37" t="str">
            <v>Bangor, ME Metro Area</v>
          </cell>
          <cell r="B37">
            <v>12277</v>
          </cell>
          <cell r="C37">
            <v>13815</v>
          </cell>
          <cell r="D37">
            <v>14424</v>
          </cell>
          <cell r="E37">
            <v>1791</v>
          </cell>
          <cell r="G37">
            <v>3519</v>
          </cell>
          <cell r="H37">
            <v>14468</v>
          </cell>
          <cell r="I37">
            <v>6719</v>
          </cell>
          <cell r="J37">
            <v>9598</v>
          </cell>
          <cell r="K37">
            <v>2733</v>
          </cell>
          <cell r="L37">
            <v>5158</v>
          </cell>
          <cell r="M37">
            <v>6856</v>
          </cell>
          <cell r="N37">
            <v>3808</v>
          </cell>
          <cell r="S37">
            <v>4576</v>
          </cell>
          <cell r="T37">
            <v>3911</v>
          </cell>
          <cell r="U37">
            <v>1912</v>
          </cell>
          <cell r="V37">
            <v>2317</v>
          </cell>
          <cell r="W37">
            <v>1854</v>
          </cell>
          <cell r="X37">
            <v>1983</v>
          </cell>
          <cell r="Y37">
            <v>3012</v>
          </cell>
          <cell r="AA37">
            <v>2145</v>
          </cell>
          <cell r="AE37">
            <v>3929</v>
          </cell>
          <cell r="AG37">
            <v>1482</v>
          </cell>
          <cell r="AH37">
            <v>1616</v>
          </cell>
          <cell r="AN37">
            <v>2228</v>
          </cell>
          <cell r="AP37">
            <v>5210</v>
          </cell>
          <cell r="BC37">
            <v>2320</v>
          </cell>
          <cell r="BD37">
            <v>1981</v>
          </cell>
          <cell r="BG37">
            <v>1865</v>
          </cell>
          <cell r="BI37">
            <v>5159</v>
          </cell>
          <cell r="CA37">
            <v>2215</v>
          </cell>
          <cell r="DN37">
            <v>144881</v>
          </cell>
          <cell r="DO37">
            <v>37</v>
          </cell>
        </row>
        <row r="38">
          <cell r="A38" t="str">
            <v>Barnstable Town, MA Metro Area</v>
          </cell>
          <cell r="B38">
            <v>12159</v>
          </cell>
          <cell r="C38">
            <v>6257</v>
          </cell>
          <cell r="D38">
            <v>10417</v>
          </cell>
          <cell r="E38">
            <v>3978</v>
          </cell>
          <cell r="F38">
            <v>22857</v>
          </cell>
          <cell r="G38">
            <v>5905</v>
          </cell>
          <cell r="H38">
            <v>8298</v>
          </cell>
          <cell r="I38">
            <v>10175</v>
          </cell>
          <cell r="J38">
            <v>8602</v>
          </cell>
          <cell r="K38">
            <v>19083</v>
          </cell>
          <cell r="L38">
            <v>3486</v>
          </cell>
          <cell r="M38">
            <v>20118</v>
          </cell>
          <cell r="O38">
            <v>13448</v>
          </cell>
          <cell r="P38">
            <v>8328</v>
          </cell>
          <cell r="Q38">
            <v>5788</v>
          </cell>
          <cell r="R38">
            <v>22375</v>
          </cell>
          <cell r="S38">
            <v>12285</v>
          </cell>
          <cell r="T38">
            <v>10896</v>
          </cell>
          <cell r="U38">
            <v>6769</v>
          </cell>
          <cell r="V38">
            <v>2752</v>
          </cell>
          <cell r="Y38">
            <v>2748</v>
          </cell>
          <cell r="AC38">
            <v>2080</v>
          </cell>
          <cell r="AD38">
            <v>3431</v>
          </cell>
          <cell r="DN38">
            <v>222235</v>
          </cell>
          <cell r="DO38">
            <v>38</v>
          </cell>
        </row>
        <row r="39">
          <cell r="A39" t="str">
            <v>Baton Rouge, LA Metro Area</v>
          </cell>
          <cell r="B39">
            <v>6237</v>
          </cell>
          <cell r="C39">
            <v>27618</v>
          </cell>
          <cell r="D39">
            <v>32580</v>
          </cell>
          <cell r="E39">
            <v>31343</v>
          </cell>
          <cell r="F39">
            <v>43968</v>
          </cell>
          <cell r="G39">
            <v>32716</v>
          </cell>
          <cell r="H39">
            <v>50343</v>
          </cell>
          <cell r="I39">
            <v>30962</v>
          </cell>
          <cell r="J39">
            <v>42546</v>
          </cell>
          <cell r="K39">
            <v>42706</v>
          </cell>
          <cell r="L39">
            <v>19823</v>
          </cell>
          <cell r="M39">
            <v>36445</v>
          </cell>
          <cell r="N39">
            <v>19687</v>
          </cell>
          <cell r="O39">
            <v>21175</v>
          </cell>
          <cell r="P39">
            <v>19052</v>
          </cell>
          <cell r="Q39">
            <v>23481</v>
          </cell>
          <cell r="R39">
            <v>5582</v>
          </cell>
          <cell r="S39">
            <v>17391</v>
          </cell>
          <cell r="T39">
            <v>34454</v>
          </cell>
          <cell r="U39">
            <v>18845</v>
          </cell>
          <cell r="V39">
            <v>14578</v>
          </cell>
          <cell r="W39">
            <v>12439</v>
          </cell>
          <cell r="X39">
            <v>10768</v>
          </cell>
          <cell r="Y39">
            <v>10794</v>
          </cell>
          <cell r="Z39">
            <v>15268</v>
          </cell>
          <cell r="AA39">
            <v>15771</v>
          </cell>
          <cell r="AB39">
            <v>6467</v>
          </cell>
          <cell r="AC39">
            <v>10599</v>
          </cell>
          <cell r="AD39">
            <v>9571</v>
          </cell>
          <cell r="AH39">
            <v>4114</v>
          </cell>
          <cell r="AJ39">
            <v>3658</v>
          </cell>
          <cell r="AK39">
            <v>19690</v>
          </cell>
          <cell r="AN39">
            <v>3147</v>
          </cell>
          <cell r="AR39">
            <v>9679</v>
          </cell>
          <cell r="AS39">
            <v>2622</v>
          </cell>
          <cell r="DN39">
            <v>706119</v>
          </cell>
          <cell r="DO39">
            <v>39</v>
          </cell>
        </row>
        <row r="40">
          <cell r="A40" t="str">
            <v>Battle Creek, MI Metro Area</v>
          </cell>
          <cell r="B40">
            <v>8417</v>
          </cell>
          <cell r="C40">
            <v>25826</v>
          </cell>
          <cell r="D40">
            <v>14576</v>
          </cell>
          <cell r="E40">
            <v>26280</v>
          </cell>
          <cell r="F40">
            <v>6820</v>
          </cell>
          <cell r="G40">
            <v>3361</v>
          </cell>
          <cell r="H40">
            <v>3660</v>
          </cell>
          <cell r="I40">
            <v>5708</v>
          </cell>
          <cell r="M40">
            <v>12968</v>
          </cell>
          <cell r="P40">
            <v>7858</v>
          </cell>
          <cell r="Q40">
            <v>4934</v>
          </cell>
          <cell r="T40">
            <v>2118</v>
          </cell>
          <cell r="W40">
            <v>7397</v>
          </cell>
          <cell r="X40">
            <v>5143</v>
          </cell>
          <cell r="Y40">
            <v>2926</v>
          </cell>
          <cell r="DN40">
            <v>137992</v>
          </cell>
          <cell r="DO40">
            <v>40</v>
          </cell>
        </row>
        <row r="41">
          <cell r="A41" t="str">
            <v>Bay City, MI Metro Area</v>
          </cell>
          <cell r="B41">
            <v>12921</v>
          </cell>
          <cell r="C41">
            <v>23912</v>
          </cell>
          <cell r="D41">
            <v>15973</v>
          </cell>
          <cell r="E41">
            <v>11578</v>
          </cell>
          <cell r="F41">
            <v>16837</v>
          </cell>
          <cell r="G41">
            <v>2532</v>
          </cell>
          <cell r="K41">
            <v>7999</v>
          </cell>
          <cell r="L41">
            <v>6726</v>
          </cell>
          <cell r="P41">
            <v>5140</v>
          </cell>
          <cell r="U41">
            <v>3955</v>
          </cell>
          <cell r="Z41">
            <v>2696</v>
          </cell>
          <cell r="DN41">
            <v>110269</v>
          </cell>
          <cell r="DO41">
            <v>41</v>
          </cell>
        </row>
        <row r="42">
          <cell r="A42" t="str">
            <v>Beaumont-Port Arthur, TX Metro Area</v>
          </cell>
          <cell r="B42">
            <v>1839</v>
          </cell>
          <cell r="C42">
            <v>18453</v>
          </cell>
          <cell r="D42">
            <v>26295</v>
          </cell>
          <cell r="E42">
            <v>16567</v>
          </cell>
          <cell r="F42">
            <v>21710</v>
          </cell>
          <cell r="G42">
            <v>21459</v>
          </cell>
          <cell r="H42">
            <v>16611</v>
          </cell>
          <cell r="I42">
            <v>18159</v>
          </cell>
          <cell r="J42">
            <v>20138</v>
          </cell>
          <cell r="K42">
            <v>7167</v>
          </cell>
          <cell r="L42">
            <v>29180</v>
          </cell>
          <cell r="M42">
            <v>9148</v>
          </cell>
          <cell r="N42">
            <v>13390</v>
          </cell>
          <cell r="O42">
            <v>13160</v>
          </cell>
          <cell r="P42">
            <v>27149</v>
          </cell>
          <cell r="Q42">
            <v>18161</v>
          </cell>
          <cell r="R42">
            <v>34299</v>
          </cell>
          <cell r="S42">
            <v>6540</v>
          </cell>
          <cell r="T42">
            <v>9813</v>
          </cell>
          <cell r="U42">
            <v>10087</v>
          </cell>
          <cell r="V42">
            <v>22589</v>
          </cell>
          <cell r="W42">
            <v>7204</v>
          </cell>
          <cell r="X42">
            <v>6167</v>
          </cell>
          <cell r="Z42">
            <v>2336</v>
          </cell>
          <cell r="AA42">
            <v>4203</v>
          </cell>
          <cell r="AI42">
            <v>3245</v>
          </cell>
          <cell r="DN42">
            <v>385069</v>
          </cell>
          <cell r="DO42">
            <v>42</v>
          </cell>
        </row>
        <row r="43">
          <cell r="A43" t="str">
            <v>Bellingham, WA Metro Area</v>
          </cell>
          <cell r="B43">
            <v>14701</v>
          </cell>
          <cell r="C43">
            <v>18470</v>
          </cell>
          <cell r="D43">
            <v>27697</v>
          </cell>
          <cell r="E43">
            <v>22344</v>
          </cell>
          <cell r="F43">
            <v>3373</v>
          </cell>
          <cell r="I43">
            <v>11182</v>
          </cell>
          <cell r="J43">
            <v>9936</v>
          </cell>
          <cell r="K43">
            <v>7034</v>
          </cell>
          <cell r="L43">
            <v>9262</v>
          </cell>
          <cell r="O43">
            <v>9731</v>
          </cell>
          <cell r="P43">
            <v>8031</v>
          </cell>
          <cell r="Q43">
            <v>7165</v>
          </cell>
          <cell r="S43">
            <v>6396</v>
          </cell>
          <cell r="T43">
            <v>10189</v>
          </cell>
          <cell r="AF43">
            <v>1311</v>
          </cell>
          <cell r="DN43">
            <v>166822</v>
          </cell>
          <cell r="DO43">
            <v>43</v>
          </cell>
        </row>
        <row r="44">
          <cell r="A44" t="str">
            <v>Bend, OR Metro Area</v>
          </cell>
          <cell r="B44">
            <v>5149</v>
          </cell>
          <cell r="C44">
            <v>21070</v>
          </cell>
          <cell r="D44">
            <v>22683</v>
          </cell>
          <cell r="E44">
            <v>5995</v>
          </cell>
          <cell r="G44">
            <v>11941</v>
          </cell>
          <cell r="J44">
            <v>1765</v>
          </cell>
          <cell r="K44">
            <v>1993</v>
          </cell>
          <cell r="N44">
            <v>5305</v>
          </cell>
          <cell r="P44">
            <v>2934</v>
          </cell>
          <cell r="Q44">
            <v>12871</v>
          </cell>
          <cell r="S44">
            <v>4110</v>
          </cell>
          <cell r="U44">
            <v>5384</v>
          </cell>
          <cell r="V44">
            <v>4476</v>
          </cell>
          <cell r="X44">
            <v>6275</v>
          </cell>
          <cell r="AC44">
            <v>3421</v>
          </cell>
          <cell r="DN44">
            <v>115372</v>
          </cell>
          <cell r="DO44">
            <v>44</v>
          </cell>
        </row>
        <row r="45">
          <cell r="A45" t="str">
            <v>Billings, MT Metro Area</v>
          </cell>
          <cell r="B45">
            <v>13443</v>
          </cell>
          <cell r="C45">
            <v>20724</v>
          </cell>
          <cell r="D45">
            <v>18054</v>
          </cell>
          <cell r="E45">
            <v>27548</v>
          </cell>
          <cell r="F45">
            <v>15395</v>
          </cell>
          <cell r="G45">
            <v>5347</v>
          </cell>
          <cell r="H45">
            <v>6669</v>
          </cell>
          <cell r="K45">
            <v>6527</v>
          </cell>
          <cell r="M45">
            <v>3924</v>
          </cell>
          <cell r="O45">
            <v>3374</v>
          </cell>
          <cell r="Q45">
            <v>4422</v>
          </cell>
          <cell r="W45">
            <v>3920</v>
          </cell>
          <cell r="AD45">
            <v>2227</v>
          </cell>
          <cell r="AM45">
            <v>1851</v>
          </cell>
          <cell r="AT45">
            <v>1267</v>
          </cell>
          <cell r="AZ45">
            <v>1918</v>
          </cell>
          <cell r="BD45">
            <v>2282</v>
          </cell>
          <cell r="DN45">
            <v>138892</v>
          </cell>
          <cell r="DO45">
            <v>45</v>
          </cell>
        </row>
        <row r="46">
          <cell r="A46" t="str">
            <v>Binghamton, NY Metro Area</v>
          </cell>
          <cell r="B46">
            <v>16599</v>
          </cell>
          <cell r="C46">
            <v>30802</v>
          </cell>
          <cell r="D46">
            <v>29841</v>
          </cell>
          <cell r="E46">
            <v>3213</v>
          </cell>
          <cell r="F46">
            <v>8958</v>
          </cell>
          <cell r="G46">
            <v>23486</v>
          </cell>
          <cell r="H46">
            <v>20462</v>
          </cell>
          <cell r="I46">
            <v>21174</v>
          </cell>
          <cell r="J46">
            <v>15848</v>
          </cell>
          <cell r="K46">
            <v>5438</v>
          </cell>
          <cell r="M46">
            <v>10647</v>
          </cell>
          <cell r="N46">
            <v>2726</v>
          </cell>
          <cell r="O46">
            <v>19534</v>
          </cell>
          <cell r="S46">
            <v>6955</v>
          </cell>
          <cell r="T46">
            <v>6651</v>
          </cell>
          <cell r="U46">
            <v>2709</v>
          </cell>
          <cell r="X46">
            <v>7407</v>
          </cell>
          <cell r="Y46">
            <v>7768</v>
          </cell>
          <cell r="AF46">
            <v>7559</v>
          </cell>
          <cell r="AH46">
            <v>4521</v>
          </cell>
          <cell r="DN46">
            <v>252298</v>
          </cell>
          <cell r="DO46">
            <v>46</v>
          </cell>
        </row>
        <row r="47">
          <cell r="A47" t="str">
            <v>Birmingham-Hoover, AL Metro Area</v>
          </cell>
          <cell r="B47">
            <v>7661</v>
          </cell>
          <cell r="C47">
            <v>25522</v>
          </cell>
          <cell r="D47">
            <v>50615</v>
          </cell>
          <cell r="E47">
            <v>55573</v>
          </cell>
          <cell r="F47">
            <v>54205</v>
          </cell>
          <cell r="G47">
            <v>56791</v>
          </cell>
          <cell r="H47">
            <v>64616</v>
          </cell>
          <cell r="I47">
            <v>19110</v>
          </cell>
          <cell r="J47">
            <v>55537</v>
          </cell>
          <cell r="K47">
            <v>66346</v>
          </cell>
          <cell r="L47">
            <v>46383</v>
          </cell>
          <cell r="M47">
            <v>46917</v>
          </cell>
          <cell r="N47">
            <v>45983</v>
          </cell>
          <cell r="O47">
            <v>25696</v>
          </cell>
          <cell r="P47">
            <v>28997</v>
          </cell>
          <cell r="Q47">
            <v>14132</v>
          </cell>
          <cell r="R47">
            <v>12315</v>
          </cell>
          <cell r="S47">
            <v>42877</v>
          </cell>
          <cell r="T47">
            <v>19825</v>
          </cell>
          <cell r="U47">
            <v>14965</v>
          </cell>
          <cell r="V47">
            <v>19613</v>
          </cell>
          <cell r="W47">
            <v>8294</v>
          </cell>
          <cell r="X47">
            <v>16742</v>
          </cell>
          <cell r="Y47">
            <v>2762</v>
          </cell>
          <cell r="Z47">
            <v>25806</v>
          </cell>
          <cell r="AA47">
            <v>7741</v>
          </cell>
          <cell r="AB47">
            <v>14089</v>
          </cell>
          <cell r="AC47">
            <v>7107</v>
          </cell>
          <cell r="AD47">
            <v>10436</v>
          </cell>
          <cell r="AE47">
            <v>21968</v>
          </cell>
          <cell r="AF47">
            <v>1287</v>
          </cell>
          <cell r="AH47">
            <v>15862</v>
          </cell>
          <cell r="AI47">
            <v>16333</v>
          </cell>
          <cell r="AJ47">
            <v>3869</v>
          </cell>
          <cell r="AK47">
            <v>19826</v>
          </cell>
          <cell r="AL47">
            <v>15037</v>
          </cell>
          <cell r="AM47">
            <v>6800</v>
          </cell>
          <cell r="AN47">
            <v>5197</v>
          </cell>
          <cell r="AO47">
            <v>13098</v>
          </cell>
          <cell r="AP47">
            <v>3521</v>
          </cell>
          <cell r="AQ47">
            <v>13853</v>
          </cell>
          <cell r="AU47">
            <v>11891</v>
          </cell>
          <cell r="AV47">
            <v>5521</v>
          </cell>
          <cell r="AW47">
            <v>3927</v>
          </cell>
          <cell r="AX47">
            <v>7283</v>
          </cell>
          <cell r="AY47">
            <v>4795</v>
          </cell>
          <cell r="AZ47">
            <v>3894</v>
          </cell>
          <cell r="BA47">
            <v>6215</v>
          </cell>
          <cell r="BD47">
            <v>4501</v>
          </cell>
          <cell r="DN47">
            <v>1051334</v>
          </cell>
          <cell r="DO47">
            <v>47</v>
          </cell>
        </row>
        <row r="48">
          <cell r="A48" t="str">
            <v>Bismarck, ND Metro Area</v>
          </cell>
          <cell r="B48">
            <v>12921</v>
          </cell>
          <cell r="C48">
            <v>28255</v>
          </cell>
          <cell r="D48">
            <v>6956</v>
          </cell>
          <cell r="E48">
            <v>16466</v>
          </cell>
          <cell r="F48">
            <v>3447</v>
          </cell>
          <cell r="G48">
            <v>8493</v>
          </cell>
          <cell r="H48">
            <v>1358</v>
          </cell>
          <cell r="I48">
            <v>6516</v>
          </cell>
          <cell r="O48">
            <v>4885</v>
          </cell>
          <cell r="X48">
            <v>1479</v>
          </cell>
          <cell r="AS48">
            <v>3937</v>
          </cell>
          <cell r="DN48">
            <v>94713</v>
          </cell>
          <cell r="DO48">
            <v>48</v>
          </cell>
        </row>
        <row r="49">
          <cell r="A49" t="str">
            <v>Blacksburg-Christiansburg-Radford, VA Metro Area</v>
          </cell>
          <cell r="B49">
            <v>12955</v>
          </cell>
          <cell r="C49">
            <v>23570</v>
          </cell>
          <cell r="D49">
            <v>7174</v>
          </cell>
          <cell r="F49">
            <v>2916</v>
          </cell>
          <cell r="G49">
            <v>16076</v>
          </cell>
          <cell r="I49">
            <v>8503</v>
          </cell>
          <cell r="J49">
            <v>2093</v>
          </cell>
          <cell r="K49">
            <v>10843</v>
          </cell>
          <cell r="L49">
            <v>11131</v>
          </cell>
          <cell r="M49">
            <v>12848</v>
          </cell>
          <cell r="O49">
            <v>3593</v>
          </cell>
          <cell r="Q49">
            <v>2</v>
          </cell>
          <cell r="R49">
            <v>7960</v>
          </cell>
          <cell r="U49">
            <v>2579</v>
          </cell>
          <cell r="V49">
            <v>9222</v>
          </cell>
          <cell r="X49">
            <v>9559</v>
          </cell>
          <cell r="Y49">
            <v>4868</v>
          </cell>
          <cell r="Z49">
            <v>5433</v>
          </cell>
          <cell r="DN49">
            <v>151325</v>
          </cell>
          <cell r="DO49">
            <v>49</v>
          </cell>
        </row>
        <row r="50">
          <cell r="A50" t="str">
            <v>Bloomington, IN Metro Area</v>
          </cell>
          <cell r="B50">
            <v>20012</v>
          </cell>
          <cell r="C50">
            <v>33809</v>
          </cell>
          <cell r="D50">
            <v>11579</v>
          </cell>
          <cell r="E50">
            <v>20537</v>
          </cell>
          <cell r="F50">
            <v>1772</v>
          </cell>
          <cell r="G50">
            <v>9612</v>
          </cell>
          <cell r="H50">
            <v>19165</v>
          </cell>
          <cell r="J50">
            <v>1847</v>
          </cell>
          <cell r="K50">
            <v>2222</v>
          </cell>
          <cell r="N50">
            <v>8054</v>
          </cell>
          <cell r="P50">
            <v>4685</v>
          </cell>
          <cell r="R50">
            <v>4472</v>
          </cell>
          <cell r="S50">
            <v>3523</v>
          </cell>
          <cell r="W50">
            <v>4896</v>
          </cell>
          <cell r="X50">
            <v>3580</v>
          </cell>
          <cell r="Y50">
            <v>3527</v>
          </cell>
          <cell r="Z50">
            <v>3992</v>
          </cell>
          <cell r="AE50">
            <v>4379</v>
          </cell>
          <cell r="AI50">
            <v>4821</v>
          </cell>
          <cell r="AJ50">
            <v>2178</v>
          </cell>
          <cell r="AK50">
            <v>6823</v>
          </cell>
          <cell r="DN50">
            <v>175485</v>
          </cell>
          <cell r="DO50">
            <v>50</v>
          </cell>
        </row>
        <row r="51">
          <cell r="A51" t="str">
            <v>Bloomington-Normal, IL Metro Area</v>
          </cell>
          <cell r="B51">
            <v>16328</v>
          </cell>
          <cell r="C51">
            <v>31192</v>
          </cell>
          <cell r="D51">
            <v>31392</v>
          </cell>
          <cell r="E51">
            <v>24115</v>
          </cell>
          <cell r="F51">
            <v>10583</v>
          </cell>
          <cell r="G51">
            <v>1286</v>
          </cell>
          <cell r="J51">
            <v>7662</v>
          </cell>
          <cell r="K51">
            <v>3812</v>
          </cell>
          <cell r="L51">
            <v>3116</v>
          </cell>
          <cell r="M51">
            <v>6279</v>
          </cell>
          <cell r="Q51">
            <v>2394</v>
          </cell>
          <cell r="T51">
            <v>2381</v>
          </cell>
          <cell r="U51">
            <v>7962</v>
          </cell>
          <cell r="V51">
            <v>1876</v>
          </cell>
          <cell r="DN51">
            <v>150378</v>
          </cell>
          <cell r="DO51">
            <v>51</v>
          </cell>
        </row>
        <row r="52">
          <cell r="A52" t="str">
            <v>Boise City-Nampa, ID Metro Area</v>
          </cell>
          <cell r="B52">
            <v>3087</v>
          </cell>
          <cell r="C52">
            <v>40181</v>
          </cell>
          <cell r="D52">
            <v>38959</v>
          </cell>
          <cell r="E52">
            <v>41441</v>
          </cell>
          <cell r="F52">
            <v>13801</v>
          </cell>
          <cell r="G52">
            <v>38703</v>
          </cell>
          <cell r="H52">
            <v>34748</v>
          </cell>
          <cell r="I52">
            <v>5976</v>
          </cell>
          <cell r="J52">
            <v>28277</v>
          </cell>
          <cell r="K52">
            <v>15519</v>
          </cell>
          <cell r="L52">
            <v>13978</v>
          </cell>
          <cell r="M52">
            <v>12712</v>
          </cell>
          <cell r="O52">
            <v>8761</v>
          </cell>
          <cell r="P52">
            <v>7480</v>
          </cell>
          <cell r="R52">
            <v>6316</v>
          </cell>
          <cell r="S52">
            <v>13992</v>
          </cell>
          <cell r="T52">
            <v>22355</v>
          </cell>
          <cell r="U52">
            <v>13808</v>
          </cell>
          <cell r="V52">
            <v>12039</v>
          </cell>
          <cell r="W52">
            <v>3156</v>
          </cell>
          <cell r="X52">
            <v>19159</v>
          </cell>
          <cell r="Y52">
            <v>8927</v>
          </cell>
          <cell r="Z52">
            <v>24666</v>
          </cell>
          <cell r="AA52">
            <v>9123</v>
          </cell>
          <cell r="AC52">
            <v>4984</v>
          </cell>
          <cell r="AD52">
            <v>3548</v>
          </cell>
          <cell r="AG52">
            <v>2742</v>
          </cell>
          <cell r="AK52">
            <v>4197</v>
          </cell>
          <cell r="AM52">
            <v>4081</v>
          </cell>
          <cell r="AO52">
            <v>4331</v>
          </cell>
          <cell r="AT52">
            <v>3821</v>
          </cell>
          <cell r="DN52">
            <v>464868</v>
          </cell>
          <cell r="DO52">
            <v>52</v>
          </cell>
        </row>
        <row r="53">
          <cell r="A53" t="str">
            <v>Boston-Cambridge-Quincy, MA-NH Metro Area</v>
          </cell>
          <cell r="B53">
            <v>33630</v>
          </cell>
          <cell r="C53">
            <v>135118</v>
          </cell>
          <cell r="D53">
            <v>165387</v>
          </cell>
          <cell r="E53">
            <v>260621</v>
          </cell>
          <cell r="F53">
            <v>246329</v>
          </cell>
          <cell r="G53">
            <v>180519</v>
          </cell>
          <cell r="H53">
            <v>147691</v>
          </cell>
          <cell r="I53">
            <v>163905</v>
          </cell>
          <cell r="J53">
            <v>185889</v>
          </cell>
          <cell r="K53">
            <v>157964</v>
          </cell>
          <cell r="L53">
            <v>111240</v>
          </cell>
          <cell r="M53">
            <v>136767</v>
          </cell>
          <cell r="N53">
            <v>77652</v>
          </cell>
          <cell r="O53">
            <v>134886</v>
          </cell>
          <cell r="P53">
            <v>99126</v>
          </cell>
          <cell r="Q53">
            <v>110522</v>
          </cell>
          <cell r="R53">
            <v>101504</v>
          </cell>
          <cell r="S53">
            <v>101449</v>
          </cell>
          <cell r="T53">
            <v>139522</v>
          </cell>
          <cell r="U53">
            <v>94519</v>
          </cell>
          <cell r="V53">
            <v>112065</v>
          </cell>
          <cell r="W53">
            <v>69928</v>
          </cell>
          <cell r="X53">
            <v>104318</v>
          </cell>
          <cell r="Y53">
            <v>143187</v>
          </cell>
          <cell r="Z53">
            <v>138287</v>
          </cell>
          <cell r="AA53">
            <v>128372</v>
          </cell>
          <cell r="AB53">
            <v>78091</v>
          </cell>
          <cell r="AC53">
            <v>95705</v>
          </cell>
          <cell r="AD53">
            <v>47679</v>
          </cell>
          <cell r="AE53">
            <v>53482</v>
          </cell>
          <cell r="AF53">
            <v>50264</v>
          </cell>
          <cell r="AG53">
            <v>12987</v>
          </cell>
          <cell r="AH53">
            <v>36221</v>
          </cell>
          <cell r="AI53">
            <v>45043</v>
          </cell>
          <cell r="AJ53">
            <v>34420</v>
          </cell>
          <cell r="AK53">
            <v>37125</v>
          </cell>
          <cell r="AL53">
            <v>16743</v>
          </cell>
          <cell r="AM53">
            <v>34732</v>
          </cell>
          <cell r="AN53">
            <v>28464</v>
          </cell>
          <cell r="AO53">
            <v>29556</v>
          </cell>
          <cell r="AP53">
            <v>16987</v>
          </cell>
          <cell r="AQ53">
            <v>12229</v>
          </cell>
          <cell r="AR53">
            <v>18365</v>
          </cell>
          <cell r="AS53">
            <v>25591</v>
          </cell>
          <cell r="AT53">
            <v>16997</v>
          </cell>
          <cell r="AU53">
            <v>12212</v>
          </cell>
          <cell r="AV53">
            <v>16621</v>
          </cell>
          <cell r="AW53">
            <v>23805</v>
          </cell>
          <cell r="AX53">
            <v>16260</v>
          </cell>
          <cell r="AY53">
            <v>11444</v>
          </cell>
          <cell r="AZ53">
            <v>3340</v>
          </cell>
          <cell r="BA53">
            <v>11993</v>
          </cell>
          <cell r="BB53">
            <v>5011</v>
          </cell>
          <cell r="BC53">
            <v>13188</v>
          </cell>
          <cell r="BD53">
            <v>9995</v>
          </cell>
          <cell r="BF53">
            <v>9893</v>
          </cell>
          <cell r="BH53">
            <v>13792</v>
          </cell>
          <cell r="BI53">
            <v>14343</v>
          </cell>
          <cell r="BK53">
            <v>7367</v>
          </cell>
          <cell r="BL53">
            <v>13999</v>
          </cell>
          <cell r="BM53">
            <v>4555</v>
          </cell>
          <cell r="BO53">
            <v>13038</v>
          </cell>
          <cell r="BQ53">
            <v>7283</v>
          </cell>
          <cell r="BT53">
            <v>5782</v>
          </cell>
          <cell r="BX53">
            <v>3889</v>
          </cell>
          <cell r="BY53">
            <v>3657</v>
          </cell>
          <cell r="DN53">
            <v>4392545</v>
          </cell>
          <cell r="DO53">
            <v>53</v>
          </cell>
        </row>
        <row r="54">
          <cell r="A54" t="str">
            <v>Boulder, CO Metro Area</v>
          </cell>
          <cell r="B54">
            <v>28830</v>
          </cell>
          <cell r="C54">
            <v>13336</v>
          </cell>
          <cell r="D54">
            <v>35562</v>
          </cell>
          <cell r="E54">
            <v>18532</v>
          </cell>
          <cell r="F54">
            <v>15165</v>
          </cell>
          <cell r="G54">
            <v>5375</v>
          </cell>
          <cell r="H54">
            <v>1946</v>
          </cell>
          <cell r="I54">
            <v>20261</v>
          </cell>
          <cell r="J54">
            <v>14957</v>
          </cell>
          <cell r="K54">
            <v>20164</v>
          </cell>
          <cell r="L54">
            <v>16741</v>
          </cell>
          <cell r="M54">
            <v>3912</v>
          </cell>
          <cell r="N54">
            <v>9134</v>
          </cell>
          <cell r="O54">
            <v>14944</v>
          </cell>
          <cell r="P54">
            <v>16107</v>
          </cell>
          <cell r="Q54">
            <v>28418</v>
          </cell>
          <cell r="R54">
            <v>6410</v>
          </cell>
          <cell r="DN54">
            <v>269794</v>
          </cell>
          <cell r="DO54">
            <v>54</v>
          </cell>
        </row>
        <row r="55">
          <cell r="A55" t="str">
            <v>Bowling Green, KY Metro Area</v>
          </cell>
          <cell r="B55">
            <v>16608</v>
          </cell>
          <cell r="C55">
            <v>16901</v>
          </cell>
          <cell r="D55">
            <v>6597</v>
          </cell>
          <cell r="E55">
            <v>11184</v>
          </cell>
          <cell r="F55">
            <v>5125</v>
          </cell>
          <cell r="G55">
            <v>8288</v>
          </cell>
          <cell r="H55">
            <v>12017</v>
          </cell>
          <cell r="J55">
            <v>5223</v>
          </cell>
          <cell r="K55">
            <v>5391</v>
          </cell>
          <cell r="M55">
            <v>5221</v>
          </cell>
          <cell r="Q55">
            <v>5669</v>
          </cell>
          <cell r="U55">
            <v>4480</v>
          </cell>
          <cell r="Z55">
            <v>1481</v>
          </cell>
          <cell r="DN55">
            <v>104185</v>
          </cell>
          <cell r="DO55">
            <v>55</v>
          </cell>
        </row>
        <row r="56">
          <cell r="A56" t="str">
            <v>Bremerton-Silverdale, WA Metro Area</v>
          </cell>
          <cell r="B56">
            <v>7710</v>
          </cell>
          <cell r="C56">
            <v>23376</v>
          </cell>
          <cell r="D56">
            <v>16421</v>
          </cell>
          <cell r="E56">
            <v>33909</v>
          </cell>
          <cell r="F56">
            <v>26786</v>
          </cell>
          <cell r="G56">
            <v>13353</v>
          </cell>
          <cell r="H56">
            <v>15212</v>
          </cell>
          <cell r="I56">
            <v>21099</v>
          </cell>
          <cell r="J56">
            <v>8762</v>
          </cell>
          <cell r="K56">
            <v>17649</v>
          </cell>
          <cell r="L56">
            <v>14467</v>
          </cell>
          <cell r="M56">
            <v>12493</v>
          </cell>
          <cell r="O56">
            <v>3032</v>
          </cell>
          <cell r="P56">
            <v>3872</v>
          </cell>
          <cell r="Q56">
            <v>4157</v>
          </cell>
          <cell r="S56">
            <v>4793</v>
          </cell>
          <cell r="V56">
            <v>4888</v>
          </cell>
          <cell r="DN56">
            <v>231979</v>
          </cell>
          <cell r="DO56">
            <v>56</v>
          </cell>
        </row>
        <row r="57">
          <cell r="A57" t="str">
            <v>Bridgeport-Stamford-Norwalk, CT Metro Area</v>
          </cell>
          <cell r="B57">
            <v>35334</v>
          </cell>
          <cell r="C57">
            <v>63386</v>
          </cell>
          <cell r="D57">
            <v>62833</v>
          </cell>
          <cell r="E57">
            <v>55050</v>
          </cell>
          <cell r="F57">
            <v>31130</v>
          </cell>
          <cell r="G57">
            <v>16722</v>
          </cell>
          <cell r="H57">
            <v>17750</v>
          </cell>
          <cell r="I57">
            <v>21432</v>
          </cell>
          <cell r="J57">
            <v>12597</v>
          </cell>
          <cell r="K57">
            <v>30466</v>
          </cell>
          <cell r="L57">
            <v>27271</v>
          </cell>
          <cell r="M57">
            <v>31590</v>
          </cell>
          <cell r="N57">
            <v>29762</v>
          </cell>
          <cell r="O57">
            <v>39664</v>
          </cell>
          <cell r="P57">
            <v>30433</v>
          </cell>
          <cell r="Q57">
            <v>13319</v>
          </cell>
          <cell r="R57">
            <v>28902</v>
          </cell>
          <cell r="S57">
            <v>33425</v>
          </cell>
          <cell r="T57">
            <v>40553</v>
          </cell>
          <cell r="U57">
            <v>76397</v>
          </cell>
          <cell r="V57">
            <v>45601</v>
          </cell>
          <cell r="W57">
            <v>34873</v>
          </cell>
          <cell r="X57">
            <v>41329</v>
          </cell>
          <cell r="Y57">
            <v>15037</v>
          </cell>
          <cell r="Z57">
            <v>5816</v>
          </cell>
          <cell r="AA57">
            <v>19809</v>
          </cell>
          <cell r="AB57">
            <v>15366</v>
          </cell>
          <cell r="AC57">
            <v>2947</v>
          </cell>
          <cell r="AG57">
            <v>3853</v>
          </cell>
          <cell r="DN57">
            <v>882647</v>
          </cell>
          <cell r="DO57">
            <v>57</v>
          </cell>
        </row>
        <row r="58">
          <cell r="A58" t="str">
            <v>Brownsville-Harlingen, TX Metro Area</v>
          </cell>
          <cell r="B58">
            <v>17407</v>
          </cell>
          <cell r="C58">
            <v>19931</v>
          </cell>
          <cell r="D58">
            <v>36698</v>
          </cell>
          <cell r="E58">
            <v>27411</v>
          </cell>
          <cell r="F58">
            <v>31451</v>
          </cell>
          <cell r="G58">
            <v>17401</v>
          </cell>
          <cell r="H58">
            <v>8179</v>
          </cell>
          <cell r="J58">
            <v>1645</v>
          </cell>
          <cell r="K58">
            <v>2962</v>
          </cell>
          <cell r="M58">
            <v>8144</v>
          </cell>
          <cell r="O58">
            <v>5185</v>
          </cell>
          <cell r="Q58">
            <v>7631</v>
          </cell>
          <cell r="R58">
            <v>4098</v>
          </cell>
          <cell r="S58">
            <v>16363</v>
          </cell>
          <cell r="T58">
            <v>12729</v>
          </cell>
          <cell r="U58">
            <v>6957</v>
          </cell>
          <cell r="W58">
            <v>17634</v>
          </cell>
          <cell r="X58">
            <v>9445</v>
          </cell>
          <cell r="Y58">
            <v>22611</v>
          </cell>
          <cell r="Z58">
            <v>23197</v>
          </cell>
          <cell r="AA58">
            <v>11884</v>
          </cell>
          <cell r="AB58">
            <v>14019</v>
          </cell>
          <cell r="AC58">
            <v>7189</v>
          </cell>
          <cell r="AG58">
            <v>4713</v>
          </cell>
          <cell r="DN58">
            <v>334884</v>
          </cell>
          <cell r="DO58">
            <v>58</v>
          </cell>
        </row>
        <row r="59">
          <cell r="A59" t="str">
            <v>Brunswick, GA Metro Area</v>
          </cell>
          <cell r="B59">
            <v>8317</v>
          </cell>
          <cell r="C59">
            <v>4040</v>
          </cell>
          <cell r="D59">
            <v>7209</v>
          </cell>
          <cell r="E59">
            <v>3465</v>
          </cell>
          <cell r="F59">
            <v>8563</v>
          </cell>
          <cell r="G59">
            <v>9734</v>
          </cell>
          <cell r="H59">
            <v>6432</v>
          </cell>
          <cell r="I59">
            <v>3265</v>
          </cell>
          <cell r="J59">
            <v>16556</v>
          </cell>
          <cell r="R59">
            <v>3547</v>
          </cell>
          <cell r="U59">
            <v>5229</v>
          </cell>
          <cell r="X59">
            <v>3774</v>
          </cell>
          <cell r="AD59">
            <v>4798</v>
          </cell>
          <cell r="AE59">
            <v>3515</v>
          </cell>
          <cell r="AP59">
            <v>4581</v>
          </cell>
          <cell r="DN59">
            <v>93025</v>
          </cell>
          <cell r="DO59">
            <v>59</v>
          </cell>
        </row>
        <row r="60">
          <cell r="A60" t="str">
            <v>Buffalo-Niagara Falls, NY Metro Area</v>
          </cell>
          <cell r="B60">
            <v>20120</v>
          </cell>
          <cell r="C60">
            <v>43398</v>
          </cell>
          <cell r="D60">
            <v>50602</v>
          </cell>
          <cell r="E60">
            <v>75758</v>
          </cell>
          <cell r="F60">
            <v>95379</v>
          </cell>
          <cell r="G60">
            <v>91805</v>
          </cell>
          <cell r="H60">
            <v>69476</v>
          </cell>
          <cell r="I60">
            <v>85046</v>
          </cell>
          <cell r="J60">
            <v>81585</v>
          </cell>
          <cell r="K60">
            <v>58265</v>
          </cell>
          <cell r="L60">
            <v>62842</v>
          </cell>
          <cell r="M60">
            <v>90935</v>
          </cell>
          <cell r="N60">
            <v>22424</v>
          </cell>
          <cell r="O60">
            <v>22843</v>
          </cell>
          <cell r="P60">
            <v>34461</v>
          </cell>
          <cell r="Q60">
            <v>32040</v>
          </cell>
          <cell r="R60">
            <v>43613</v>
          </cell>
          <cell r="S60">
            <v>23733</v>
          </cell>
          <cell r="T60">
            <v>18717</v>
          </cell>
          <cell r="U60">
            <v>16472</v>
          </cell>
          <cell r="V60">
            <v>17641</v>
          </cell>
          <cell r="W60">
            <v>37664</v>
          </cell>
          <cell r="X60">
            <v>12854</v>
          </cell>
          <cell r="Z60">
            <v>9981</v>
          </cell>
          <cell r="AA60">
            <v>10215</v>
          </cell>
          <cell r="AB60">
            <v>7357</v>
          </cell>
          <cell r="AC60">
            <v>13429</v>
          </cell>
          <cell r="AD60">
            <v>8600</v>
          </cell>
          <cell r="AE60">
            <v>1213</v>
          </cell>
          <cell r="AF60">
            <v>5908</v>
          </cell>
          <cell r="AG60">
            <v>2793</v>
          </cell>
          <cell r="AK60">
            <v>2852</v>
          </cell>
          <cell r="DN60">
            <v>1170021</v>
          </cell>
          <cell r="DO60">
            <v>60</v>
          </cell>
        </row>
        <row r="61">
          <cell r="A61" t="str">
            <v>Burlington, NC Metro Area</v>
          </cell>
          <cell r="B61">
            <v>14141</v>
          </cell>
          <cell r="C61">
            <v>15310</v>
          </cell>
          <cell r="D61">
            <v>26369</v>
          </cell>
          <cell r="E61">
            <v>2680</v>
          </cell>
          <cell r="F61">
            <v>22773</v>
          </cell>
          <cell r="G61">
            <v>5091</v>
          </cell>
          <cell r="I61">
            <v>18307</v>
          </cell>
          <cell r="J61">
            <v>8984</v>
          </cell>
          <cell r="K61">
            <v>7782</v>
          </cell>
          <cell r="L61">
            <v>3515</v>
          </cell>
          <cell r="P61">
            <v>5807</v>
          </cell>
          <cell r="DN61">
            <v>130759</v>
          </cell>
          <cell r="DO61">
            <v>61</v>
          </cell>
        </row>
        <row r="62">
          <cell r="A62" t="str">
            <v>Burlington-South Burlington, VT Metro Area</v>
          </cell>
          <cell r="B62">
            <v>26959</v>
          </cell>
          <cell r="C62">
            <v>8901</v>
          </cell>
          <cell r="D62">
            <v>12598</v>
          </cell>
          <cell r="E62">
            <v>12774</v>
          </cell>
          <cell r="F62">
            <v>19330</v>
          </cell>
          <cell r="G62">
            <v>4037</v>
          </cell>
          <cell r="H62">
            <v>22261</v>
          </cell>
          <cell r="J62">
            <v>4742</v>
          </cell>
          <cell r="M62">
            <v>24505</v>
          </cell>
          <cell r="O62">
            <v>2704</v>
          </cell>
          <cell r="P62">
            <v>5929</v>
          </cell>
          <cell r="Q62">
            <v>3648</v>
          </cell>
          <cell r="S62">
            <v>6198</v>
          </cell>
          <cell r="T62">
            <v>4708</v>
          </cell>
          <cell r="Y62">
            <v>9272</v>
          </cell>
          <cell r="Z62">
            <v>3774</v>
          </cell>
          <cell r="AC62">
            <v>2992</v>
          </cell>
          <cell r="AF62">
            <v>9430</v>
          </cell>
          <cell r="AI62">
            <v>6647</v>
          </cell>
          <cell r="AM62">
            <v>4161</v>
          </cell>
          <cell r="AS62">
            <v>3332</v>
          </cell>
          <cell r="DN62">
            <v>198902</v>
          </cell>
          <cell r="DO62">
            <v>62</v>
          </cell>
        </row>
        <row r="63">
          <cell r="A63" t="str">
            <v>Canton-Massillon, OH Metro Area</v>
          </cell>
          <cell r="B63">
            <v>9349</v>
          </cell>
          <cell r="C63">
            <v>43166</v>
          </cell>
          <cell r="D63">
            <v>23531</v>
          </cell>
          <cell r="E63">
            <v>41316</v>
          </cell>
          <cell r="F63">
            <v>28045</v>
          </cell>
          <cell r="G63">
            <v>34418</v>
          </cell>
          <cell r="H63">
            <v>24746</v>
          </cell>
          <cell r="I63">
            <v>41038</v>
          </cell>
          <cell r="J63">
            <v>33796</v>
          </cell>
          <cell r="K63">
            <v>4128</v>
          </cell>
          <cell r="L63">
            <v>21081</v>
          </cell>
          <cell r="M63">
            <v>6595</v>
          </cell>
          <cell r="N63">
            <v>22563</v>
          </cell>
          <cell r="O63">
            <v>16727</v>
          </cell>
          <cell r="P63">
            <v>4171</v>
          </cell>
          <cell r="Q63">
            <v>17982</v>
          </cell>
          <cell r="R63">
            <v>18993</v>
          </cell>
          <cell r="W63">
            <v>8499</v>
          </cell>
          <cell r="Z63">
            <v>3273</v>
          </cell>
          <cell r="AC63">
            <v>3558</v>
          </cell>
          <cell r="DN63">
            <v>406975</v>
          </cell>
          <cell r="DO63">
            <v>63</v>
          </cell>
        </row>
        <row r="64">
          <cell r="A64" t="str">
            <v>Cape Coral-Fort Myers, FL Metro Area</v>
          </cell>
          <cell r="B64">
            <v>3854</v>
          </cell>
          <cell r="C64">
            <v>28671</v>
          </cell>
          <cell r="D64">
            <v>20458</v>
          </cell>
          <cell r="E64">
            <v>20805</v>
          </cell>
          <cell r="F64">
            <v>25027</v>
          </cell>
          <cell r="G64">
            <v>53023</v>
          </cell>
          <cell r="H64">
            <v>38233</v>
          </cell>
          <cell r="I64">
            <v>35292</v>
          </cell>
          <cell r="J64">
            <v>36472</v>
          </cell>
          <cell r="K64">
            <v>18158</v>
          </cell>
          <cell r="L64">
            <v>17723</v>
          </cell>
          <cell r="M64">
            <v>10970</v>
          </cell>
          <cell r="N64">
            <v>7023</v>
          </cell>
          <cell r="O64">
            <v>13809</v>
          </cell>
          <cell r="P64">
            <v>24518</v>
          </cell>
          <cell r="Q64">
            <v>7302</v>
          </cell>
          <cell r="R64">
            <v>8691</v>
          </cell>
          <cell r="S64">
            <v>6123</v>
          </cell>
          <cell r="T64">
            <v>5300</v>
          </cell>
          <cell r="U64">
            <v>5272</v>
          </cell>
          <cell r="V64">
            <v>11884</v>
          </cell>
          <cell r="W64">
            <v>13595</v>
          </cell>
          <cell r="X64">
            <v>12936</v>
          </cell>
          <cell r="Y64">
            <v>14280</v>
          </cell>
          <cell r="Z64">
            <v>154</v>
          </cell>
          <cell r="AB64">
            <v>1337</v>
          </cell>
          <cell r="DN64">
            <v>440910</v>
          </cell>
          <cell r="DO64">
            <v>64</v>
          </cell>
        </row>
        <row r="65">
          <cell r="A65" t="str">
            <v>Cape Girardeau-Jackson, MO-IL Metro Area</v>
          </cell>
          <cell r="B65">
            <v>8630</v>
          </cell>
          <cell r="C65">
            <v>8497</v>
          </cell>
          <cell r="D65">
            <v>10080</v>
          </cell>
          <cell r="E65">
            <v>6019</v>
          </cell>
          <cell r="F65">
            <v>3961</v>
          </cell>
          <cell r="G65">
            <v>5282</v>
          </cell>
          <cell r="J65">
            <v>7876</v>
          </cell>
          <cell r="K65">
            <v>3220</v>
          </cell>
          <cell r="L65">
            <v>5928</v>
          </cell>
          <cell r="M65">
            <v>2331</v>
          </cell>
          <cell r="O65">
            <v>4252</v>
          </cell>
          <cell r="P65">
            <v>3049</v>
          </cell>
          <cell r="R65">
            <v>5117</v>
          </cell>
          <cell r="Z65">
            <v>4634</v>
          </cell>
          <cell r="AB65">
            <v>2132</v>
          </cell>
          <cell r="AD65">
            <v>6216</v>
          </cell>
          <cell r="AE65">
            <v>3062</v>
          </cell>
          <cell r="DN65">
            <v>90286</v>
          </cell>
          <cell r="DO65">
            <v>65</v>
          </cell>
        </row>
        <row r="66">
          <cell r="A66" t="str">
            <v>Carson City, NV Metro Area</v>
          </cell>
          <cell r="B66">
            <v>12386</v>
          </cell>
          <cell r="C66">
            <v>19353</v>
          </cell>
          <cell r="D66">
            <v>16369</v>
          </cell>
          <cell r="E66">
            <v>4360</v>
          </cell>
          <cell r="DN66">
            <v>52468</v>
          </cell>
          <cell r="DO66">
            <v>66</v>
          </cell>
        </row>
        <row r="67">
          <cell r="A67" t="str">
            <v>Casper, WY Metro Area</v>
          </cell>
          <cell r="B67">
            <v>7767</v>
          </cell>
          <cell r="C67">
            <v>17151</v>
          </cell>
          <cell r="D67">
            <v>19979</v>
          </cell>
          <cell r="E67">
            <v>3988</v>
          </cell>
          <cell r="F67">
            <v>7492</v>
          </cell>
          <cell r="G67">
            <v>3419</v>
          </cell>
          <cell r="H67">
            <v>3254</v>
          </cell>
          <cell r="K67">
            <v>3491</v>
          </cell>
          <cell r="DN67">
            <v>66541</v>
          </cell>
          <cell r="DO67">
            <v>67</v>
          </cell>
        </row>
        <row r="68">
          <cell r="A68" t="str">
            <v>Cedar Rapids, IA Metro Area</v>
          </cell>
          <cell r="B68">
            <v>11566</v>
          </cell>
          <cell r="C68">
            <v>8656</v>
          </cell>
          <cell r="D68">
            <v>30494</v>
          </cell>
          <cell r="E68">
            <v>44175</v>
          </cell>
          <cell r="F68">
            <v>32510</v>
          </cell>
          <cell r="G68">
            <v>24921</v>
          </cell>
          <cell r="H68">
            <v>7656</v>
          </cell>
          <cell r="I68">
            <v>4242</v>
          </cell>
          <cell r="J68">
            <v>7543</v>
          </cell>
          <cell r="L68">
            <v>5234</v>
          </cell>
          <cell r="M68">
            <v>3111</v>
          </cell>
          <cell r="N68">
            <v>3590</v>
          </cell>
          <cell r="O68">
            <v>7065</v>
          </cell>
          <cell r="R68">
            <v>6363</v>
          </cell>
          <cell r="S68">
            <v>2477</v>
          </cell>
          <cell r="T68">
            <v>2947</v>
          </cell>
          <cell r="U68">
            <v>5280</v>
          </cell>
          <cell r="X68">
            <v>12003</v>
          </cell>
          <cell r="Y68">
            <v>3413</v>
          </cell>
          <cell r="AF68">
            <v>7093</v>
          </cell>
          <cell r="AG68">
            <v>4011</v>
          </cell>
          <cell r="AK68">
            <v>2916</v>
          </cell>
          <cell r="DN68">
            <v>237266</v>
          </cell>
          <cell r="DO68">
            <v>68</v>
          </cell>
        </row>
        <row r="69">
          <cell r="A69" t="str">
            <v>Champaign-Urbana, IL Metro Area</v>
          </cell>
          <cell r="B69">
            <v>27850</v>
          </cell>
          <cell r="C69">
            <v>32452</v>
          </cell>
          <cell r="D69">
            <v>34324</v>
          </cell>
          <cell r="E69">
            <v>31434</v>
          </cell>
          <cell r="F69">
            <v>1920</v>
          </cell>
          <cell r="J69">
            <v>13202</v>
          </cell>
          <cell r="L69">
            <v>5057</v>
          </cell>
          <cell r="M69">
            <v>6690</v>
          </cell>
          <cell r="O69">
            <v>7702</v>
          </cell>
          <cell r="P69">
            <v>19056</v>
          </cell>
          <cell r="Q69">
            <v>4411</v>
          </cell>
          <cell r="T69">
            <v>5455</v>
          </cell>
          <cell r="Y69">
            <v>3667</v>
          </cell>
          <cell r="Z69">
            <v>4586</v>
          </cell>
          <cell r="AA69">
            <v>3539</v>
          </cell>
          <cell r="AB69">
            <v>2244</v>
          </cell>
          <cell r="AD69">
            <v>2852</v>
          </cell>
          <cell r="AE69">
            <v>1833</v>
          </cell>
          <cell r="AY69">
            <v>2025</v>
          </cell>
          <cell r="DN69">
            <v>210299</v>
          </cell>
          <cell r="DO69">
            <v>69</v>
          </cell>
        </row>
        <row r="70">
          <cell r="A70" t="str">
            <v>Charleston, WV Metro Area</v>
          </cell>
          <cell r="B70">
            <v>6629</v>
          </cell>
          <cell r="C70">
            <v>23468</v>
          </cell>
          <cell r="D70">
            <v>18505</v>
          </cell>
          <cell r="E70">
            <v>11128</v>
          </cell>
          <cell r="F70">
            <v>10971</v>
          </cell>
          <cell r="G70">
            <v>16021</v>
          </cell>
          <cell r="H70">
            <v>10688</v>
          </cell>
          <cell r="I70">
            <v>21658</v>
          </cell>
          <cell r="J70">
            <v>7631</v>
          </cell>
          <cell r="K70">
            <v>11178</v>
          </cell>
          <cell r="L70">
            <v>16639</v>
          </cell>
          <cell r="M70">
            <v>20105</v>
          </cell>
          <cell r="N70">
            <v>10622</v>
          </cell>
          <cell r="O70">
            <v>5731</v>
          </cell>
          <cell r="P70">
            <v>5729</v>
          </cell>
          <cell r="Q70">
            <v>10433</v>
          </cell>
          <cell r="R70">
            <v>10484</v>
          </cell>
          <cell r="S70">
            <v>10371</v>
          </cell>
          <cell r="T70">
            <v>9537</v>
          </cell>
          <cell r="U70">
            <v>14810</v>
          </cell>
          <cell r="V70">
            <v>7054</v>
          </cell>
          <cell r="W70">
            <v>7130</v>
          </cell>
          <cell r="X70">
            <v>4922</v>
          </cell>
          <cell r="Y70">
            <v>2227</v>
          </cell>
          <cell r="AA70">
            <v>13905</v>
          </cell>
          <cell r="AC70">
            <v>3830</v>
          </cell>
          <cell r="AF70">
            <v>6052</v>
          </cell>
          <cell r="AG70">
            <v>5069</v>
          </cell>
          <cell r="AJ70">
            <v>3611</v>
          </cell>
          <cell r="AK70">
            <v>3514</v>
          </cell>
          <cell r="DN70">
            <v>309652</v>
          </cell>
          <cell r="DO70">
            <v>70</v>
          </cell>
        </row>
        <row r="71">
          <cell r="A71" t="str">
            <v>Charleston-North Charleston-Summerville, SC Metro Area</v>
          </cell>
          <cell r="B71">
            <v>13960</v>
          </cell>
          <cell r="C71">
            <v>11298</v>
          </cell>
          <cell r="D71">
            <v>21600</v>
          </cell>
          <cell r="E71">
            <v>30986</v>
          </cell>
          <cell r="F71">
            <v>26177</v>
          </cell>
          <cell r="G71">
            <v>33030</v>
          </cell>
          <cell r="H71">
            <v>32531</v>
          </cell>
          <cell r="I71">
            <v>17050</v>
          </cell>
          <cell r="J71">
            <v>29352</v>
          </cell>
          <cell r="K71">
            <v>22333</v>
          </cell>
          <cell r="L71">
            <v>15349</v>
          </cell>
          <cell r="M71">
            <v>12994</v>
          </cell>
          <cell r="N71">
            <v>11961</v>
          </cell>
          <cell r="O71">
            <v>22622</v>
          </cell>
          <cell r="P71">
            <v>24160</v>
          </cell>
          <cell r="Q71">
            <v>14469</v>
          </cell>
          <cell r="R71">
            <v>12426</v>
          </cell>
          <cell r="S71">
            <v>9235</v>
          </cell>
          <cell r="T71">
            <v>12834</v>
          </cell>
          <cell r="U71">
            <v>36053</v>
          </cell>
          <cell r="V71">
            <v>14007</v>
          </cell>
          <cell r="W71">
            <v>14124</v>
          </cell>
          <cell r="X71">
            <v>13072</v>
          </cell>
          <cell r="Y71">
            <v>19957</v>
          </cell>
          <cell r="Z71">
            <v>4899</v>
          </cell>
          <cell r="AA71">
            <v>2291</v>
          </cell>
          <cell r="AB71">
            <v>4415</v>
          </cell>
          <cell r="AC71">
            <v>1293</v>
          </cell>
          <cell r="AD71">
            <v>9865</v>
          </cell>
          <cell r="AE71">
            <v>7714</v>
          </cell>
          <cell r="AF71">
            <v>10415</v>
          </cell>
          <cell r="AK71">
            <v>7286</v>
          </cell>
          <cell r="AL71">
            <v>5457</v>
          </cell>
          <cell r="AR71">
            <v>12711</v>
          </cell>
          <cell r="AU71">
            <v>3544</v>
          </cell>
          <cell r="AW71">
            <v>5053</v>
          </cell>
          <cell r="AX71">
            <v>2497</v>
          </cell>
          <cell r="DN71">
            <v>549020</v>
          </cell>
          <cell r="DO71">
            <v>71</v>
          </cell>
        </row>
        <row r="72">
          <cell r="A72" t="str">
            <v>Charlotte-Gastonia-Rock Hill, NC-SC Metro Area</v>
          </cell>
          <cell r="B72">
            <v>7394</v>
          </cell>
          <cell r="C72">
            <v>35443</v>
          </cell>
          <cell r="D72">
            <v>58923</v>
          </cell>
          <cell r="E72">
            <v>38260</v>
          </cell>
          <cell r="F72">
            <v>70236</v>
          </cell>
          <cell r="G72">
            <v>59199</v>
          </cell>
          <cell r="H72">
            <v>82464</v>
          </cell>
          <cell r="I72">
            <v>62406</v>
          </cell>
          <cell r="J72">
            <v>77527</v>
          </cell>
          <cell r="K72">
            <v>54082</v>
          </cell>
          <cell r="L72">
            <v>50023</v>
          </cell>
          <cell r="M72">
            <v>49330</v>
          </cell>
          <cell r="N72">
            <v>45610</v>
          </cell>
          <cell r="O72">
            <v>35770</v>
          </cell>
          <cell r="P72">
            <v>53521</v>
          </cell>
          <cell r="Q72">
            <v>20144</v>
          </cell>
          <cell r="R72">
            <v>39128</v>
          </cell>
          <cell r="S72">
            <v>47336</v>
          </cell>
          <cell r="T72">
            <v>39177</v>
          </cell>
          <cell r="U72">
            <v>74466</v>
          </cell>
          <cell r="V72">
            <v>48168</v>
          </cell>
          <cell r="W72">
            <v>41289</v>
          </cell>
          <cell r="X72">
            <v>48358</v>
          </cell>
          <cell r="Y72">
            <v>31396</v>
          </cell>
          <cell r="Z72">
            <v>37766</v>
          </cell>
          <cell r="AA72">
            <v>22231</v>
          </cell>
          <cell r="AB72">
            <v>12857</v>
          </cell>
          <cell r="AC72">
            <v>19248</v>
          </cell>
          <cell r="AD72">
            <v>18469</v>
          </cell>
          <cell r="AG72">
            <v>8470</v>
          </cell>
          <cell r="AH72">
            <v>10140</v>
          </cell>
          <cell r="AI72">
            <v>2355</v>
          </cell>
          <cell r="AK72">
            <v>4125</v>
          </cell>
          <cell r="AM72">
            <v>6415</v>
          </cell>
          <cell r="AQ72">
            <v>1671</v>
          </cell>
          <cell r="AU72">
            <v>3198</v>
          </cell>
          <cell r="AV72">
            <v>6007</v>
          </cell>
          <cell r="AZ72">
            <v>4565</v>
          </cell>
          <cell r="BA72">
            <v>3412</v>
          </cell>
          <cell r="DN72">
            <v>1330579</v>
          </cell>
          <cell r="DO72">
            <v>72</v>
          </cell>
        </row>
        <row r="73">
          <cell r="A73" t="str">
            <v>Charlottesville, VA Metro Area</v>
          </cell>
          <cell r="B73">
            <v>11514</v>
          </cell>
          <cell r="C73">
            <v>28663</v>
          </cell>
          <cell r="D73">
            <v>17558</v>
          </cell>
          <cell r="E73">
            <v>16257</v>
          </cell>
          <cell r="G73">
            <v>2562</v>
          </cell>
          <cell r="H73">
            <v>23015</v>
          </cell>
          <cell r="I73">
            <v>3828</v>
          </cell>
          <cell r="K73">
            <v>4090</v>
          </cell>
          <cell r="M73">
            <v>11207</v>
          </cell>
          <cell r="N73">
            <v>8901</v>
          </cell>
          <cell r="O73">
            <v>3759</v>
          </cell>
          <cell r="P73">
            <v>7231</v>
          </cell>
          <cell r="Q73">
            <v>8197</v>
          </cell>
          <cell r="R73">
            <v>4687</v>
          </cell>
          <cell r="U73">
            <v>3314</v>
          </cell>
          <cell r="V73">
            <v>4797</v>
          </cell>
          <cell r="W73">
            <v>4657</v>
          </cell>
          <cell r="AD73">
            <v>5304</v>
          </cell>
          <cell r="AG73">
            <v>4471</v>
          </cell>
          <cell r="DN73">
            <v>174012</v>
          </cell>
          <cell r="DO73">
            <v>73</v>
          </cell>
        </row>
        <row r="74">
          <cell r="A74" t="str">
            <v>Chattanooga, TN-GA Metro Area</v>
          </cell>
          <cell r="B74">
            <v>9497</v>
          </cell>
          <cell r="C74">
            <v>8387</v>
          </cell>
          <cell r="D74">
            <v>29646</v>
          </cell>
          <cell r="E74">
            <v>29367</v>
          </cell>
          <cell r="F74">
            <v>32617</v>
          </cell>
          <cell r="G74">
            <v>33162</v>
          </cell>
          <cell r="H74">
            <v>29356</v>
          </cell>
          <cell r="I74">
            <v>21308</v>
          </cell>
          <cell r="J74">
            <v>31236</v>
          </cell>
          <cell r="K74">
            <v>22443</v>
          </cell>
          <cell r="L74">
            <v>18956</v>
          </cell>
          <cell r="M74">
            <v>40786</v>
          </cell>
          <cell r="N74">
            <v>29303</v>
          </cell>
          <cell r="O74">
            <v>13639</v>
          </cell>
          <cell r="P74">
            <v>10550</v>
          </cell>
          <cell r="Q74">
            <v>18171</v>
          </cell>
          <cell r="R74">
            <v>20415</v>
          </cell>
          <cell r="S74">
            <v>18069</v>
          </cell>
          <cell r="T74">
            <v>5122</v>
          </cell>
          <cell r="U74">
            <v>7844</v>
          </cell>
          <cell r="V74">
            <v>3079</v>
          </cell>
          <cell r="W74">
            <v>5983</v>
          </cell>
          <cell r="X74">
            <v>12276</v>
          </cell>
          <cell r="Y74">
            <v>10401</v>
          </cell>
          <cell r="AA74">
            <v>3781</v>
          </cell>
          <cell r="AC74">
            <v>5049</v>
          </cell>
          <cell r="AD74">
            <v>6162</v>
          </cell>
          <cell r="DN74">
            <v>476605</v>
          </cell>
          <cell r="DO74">
            <v>74</v>
          </cell>
        </row>
        <row r="75">
          <cell r="A75" t="str">
            <v>Cheyenne, WY Metro Area</v>
          </cell>
          <cell r="B75">
            <v>7673</v>
          </cell>
          <cell r="C75">
            <v>17140</v>
          </cell>
          <cell r="D75">
            <v>15517</v>
          </cell>
          <cell r="E75">
            <v>25896</v>
          </cell>
          <cell r="F75">
            <v>4171</v>
          </cell>
          <cell r="I75">
            <v>2872</v>
          </cell>
          <cell r="L75">
            <v>3201</v>
          </cell>
          <cell r="X75">
            <v>5143</v>
          </cell>
          <cell r="DN75">
            <v>81613</v>
          </cell>
          <cell r="DO75">
            <v>75</v>
          </cell>
        </row>
        <row r="76">
          <cell r="A76" t="str">
            <v>Chicago-Joliet-Naperville, IL-IN-WI Metro Area</v>
          </cell>
          <cell r="B76">
            <v>34182</v>
          </cell>
          <cell r="C76">
            <v>99244</v>
          </cell>
          <cell r="D76">
            <v>153272</v>
          </cell>
          <cell r="E76">
            <v>208837</v>
          </cell>
          <cell r="F76">
            <v>280995</v>
          </cell>
          <cell r="G76">
            <v>339802</v>
          </cell>
          <cell r="H76">
            <v>387755</v>
          </cell>
          <cell r="I76">
            <v>424327</v>
          </cell>
          <cell r="J76">
            <v>406272</v>
          </cell>
          <cell r="K76">
            <v>341698</v>
          </cell>
          <cell r="L76">
            <v>259212</v>
          </cell>
          <cell r="M76">
            <v>243240</v>
          </cell>
          <cell r="N76">
            <v>264409</v>
          </cell>
          <cell r="O76">
            <v>251864</v>
          </cell>
          <cell r="P76">
            <v>164088</v>
          </cell>
          <cell r="Q76">
            <v>168921</v>
          </cell>
          <cell r="R76">
            <v>157139</v>
          </cell>
          <cell r="S76">
            <v>151587</v>
          </cell>
          <cell r="T76">
            <v>213132</v>
          </cell>
          <cell r="U76">
            <v>200589</v>
          </cell>
          <cell r="V76">
            <v>204140</v>
          </cell>
          <cell r="W76">
            <v>176926</v>
          </cell>
          <cell r="X76">
            <v>227831</v>
          </cell>
          <cell r="Y76">
            <v>267435</v>
          </cell>
          <cell r="Z76">
            <v>206037</v>
          </cell>
          <cell r="AA76">
            <v>209961</v>
          </cell>
          <cell r="AB76">
            <v>240741</v>
          </cell>
          <cell r="AC76">
            <v>200945</v>
          </cell>
          <cell r="AD76">
            <v>206461</v>
          </cell>
          <cell r="AE76">
            <v>173038</v>
          </cell>
          <cell r="AF76">
            <v>130969</v>
          </cell>
          <cell r="AG76">
            <v>154613</v>
          </cell>
          <cell r="AH76">
            <v>121274</v>
          </cell>
          <cell r="AI76">
            <v>172199</v>
          </cell>
          <cell r="AJ76">
            <v>124109</v>
          </cell>
          <cell r="AK76">
            <v>204255</v>
          </cell>
          <cell r="AL76">
            <v>176231</v>
          </cell>
          <cell r="AM76">
            <v>103416</v>
          </cell>
          <cell r="AN76">
            <v>117079</v>
          </cell>
          <cell r="AO76">
            <v>101664</v>
          </cell>
          <cell r="AP76">
            <v>72794</v>
          </cell>
          <cell r="AQ76">
            <v>80324</v>
          </cell>
          <cell r="AR76">
            <v>84166</v>
          </cell>
          <cell r="AS76">
            <v>34222</v>
          </cell>
          <cell r="AT76">
            <v>47438</v>
          </cell>
          <cell r="AU76">
            <v>31330</v>
          </cell>
          <cell r="AV76">
            <v>36661</v>
          </cell>
          <cell r="AW76">
            <v>44078</v>
          </cell>
          <cell r="AX76">
            <v>42364</v>
          </cell>
          <cell r="AY76">
            <v>46364</v>
          </cell>
          <cell r="AZ76">
            <v>36186</v>
          </cell>
          <cell r="BA76">
            <v>29207</v>
          </cell>
          <cell r="BB76">
            <v>33746</v>
          </cell>
          <cell r="BC76">
            <v>44092</v>
          </cell>
          <cell r="BD76">
            <v>27870</v>
          </cell>
          <cell r="BE76">
            <v>12067</v>
          </cell>
          <cell r="BF76">
            <v>30079</v>
          </cell>
          <cell r="BG76">
            <v>18924</v>
          </cell>
          <cell r="BH76">
            <v>19989</v>
          </cell>
          <cell r="BI76">
            <v>9670</v>
          </cell>
          <cell r="BJ76">
            <v>5861</v>
          </cell>
          <cell r="BK76">
            <v>3407</v>
          </cell>
          <cell r="BL76">
            <v>15255</v>
          </cell>
          <cell r="BM76">
            <v>6550</v>
          </cell>
          <cell r="BS76">
            <v>3578</v>
          </cell>
          <cell r="BT76">
            <v>3572</v>
          </cell>
          <cell r="BX76">
            <v>2894</v>
          </cell>
          <cell r="BZ76">
            <v>2417</v>
          </cell>
          <cell r="CA76">
            <v>3966</v>
          </cell>
          <cell r="DN76">
            <v>9098960</v>
          </cell>
          <cell r="DO76">
            <v>76</v>
          </cell>
        </row>
        <row r="77">
          <cell r="A77" t="str">
            <v>Chico, CA Metro Area</v>
          </cell>
          <cell r="B77">
            <v>20442</v>
          </cell>
          <cell r="C77">
            <v>31195</v>
          </cell>
          <cell r="D77">
            <v>29030</v>
          </cell>
          <cell r="E77">
            <v>5175</v>
          </cell>
          <cell r="F77">
            <v>786</v>
          </cell>
          <cell r="G77">
            <v>10353</v>
          </cell>
          <cell r="J77">
            <v>4118</v>
          </cell>
          <cell r="L77">
            <v>5191</v>
          </cell>
          <cell r="M77">
            <v>4630</v>
          </cell>
          <cell r="N77">
            <v>5553</v>
          </cell>
          <cell r="O77">
            <v>15551</v>
          </cell>
          <cell r="P77">
            <v>6053</v>
          </cell>
          <cell r="R77">
            <v>3002</v>
          </cell>
          <cell r="U77">
            <v>6639</v>
          </cell>
          <cell r="V77">
            <v>3995</v>
          </cell>
          <cell r="W77">
            <v>4369</v>
          </cell>
          <cell r="X77">
            <v>11669</v>
          </cell>
          <cell r="Y77">
            <v>7641</v>
          </cell>
          <cell r="Z77">
            <v>7909</v>
          </cell>
          <cell r="AA77">
            <v>8454</v>
          </cell>
          <cell r="AB77">
            <v>4453</v>
          </cell>
          <cell r="AC77">
            <v>2981</v>
          </cell>
          <cell r="AD77">
            <v>3936</v>
          </cell>
          <cell r="DN77">
            <v>203125</v>
          </cell>
          <cell r="DO77">
            <v>77</v>
          </cell>
        </row>
        <row r="78">
          <cell r="A78" t="str">
            <v>Cincinnati-Middletown, OH-KY-IN Metro Area</v>
          </cell>
          <cell r="B78">
            <v>17966</v>
          </cell>
          <cell r="C78">
            <v>53400</v>
          </cell>
          <cell r="D78">
            <v>82618</v>
          </cell>
          <cell r="E78">
            <v>76188</v>
          </cell>
          <cell r="F78">
            <v>117835</v>
          </cell>
          <cell r="G78">
            <v>90945</v>
          </cell>
          <cell r="H78">
            <v>80781</v>
          </cell>
          <cell r="I78">
            <v>105584</v>
          </cell>
          <cell r="J78">
            <v>104785</v>
          </cell>
          <cell r="K78">
            <v>75865</v>
          </cell>
          <cell r="L78">
            <v>96732</v>
          </cell>
          <cell r="M78">
            <v>89795</v>
          </cell>
          <cell r="N78">
            <v>64839</v>
          </cell>
          <cell r="O78">
            <v>69365</v>
          </cell>
          <cell r="P78">
            <v>39483</v>
          </cell>
          <cell r="Q78">
            <v>60271</v>
          </cell>
          <cell r="R78">
            <v>71050</v>
          </cell>
          <cell r="S78">
            <v>65448</v>
          </cell>
          <cell r="T78">
            <v>72541</v>
          </cell>
          <cell r="U78">
            <v>60748</v>
          </cell>
          <cell r="V78">
            <v>49853</v>
          </cell>
          <cell r="W78">
            <v>52869</v>
          </cell>
          <cell r="X78">
            <v>13760</v>
          </cell>
          <cell r="Y78">
            <v>32199</v>
          </cell>
          <cell r="Z78">
            <v>18966</v>
          </cell>
          <cell r="AA78">
            <v>25744</v>
          </cell>
          <cell r="AB78">
            <v>21264</v>
          </cell>
          <cell r="AC78">
            <v>43199</v>
          </cell>
          <cell r="AD78">
            <v>38456</v>
          </cell>
          <cell r="AE78">
            <v>40372</v>
          </cell>
          <cell r="AF78">
            <v>32459</v>
          </cell>
          <cell r="AG78">
            <v>24006</v>
          </cell>
          <cell r="AH78">
            <v>28059</v>
          </cell>
          <cell r="AI78">
            <v>9620</v>
          </cell>
          <cell r="AJ78">
            <v>17221</v>
          </cell>
          <cell r="AK78">
            <v>9161</v>
          </cell>
          <cell r="AL78">
            <v>14038</v>
          </cell>
          <cell r="AM78">
            <v>16278</v>
          </cell>
          <cell r="AO78">
            <v>3854</v>
          </cell>
          <cell r="AP78">
            <v>2145</v>
          </cell>
          <cell r="AQ78">
            <v>4508</v>
          </cell>
          <cell r="AR78">
            <v>4893</v>
          </cell>
          <cell r="AS78">
            <v>2761</v>
          </cell>
          <cell r="AT78">
            <v>3874</v>
          </cell>
          <cell r="AY78">
            <v>3861</v>
          </cell>
          <cell r="DN78">
            <v>2009659</v>
          </cell>
          <cell r="DO78">
            <v>78</v>
          </cell>
        </row>
        <row r="79">
          <cell r="A79" t="str">
            <v>Clarksville, TN-KY Metro Area</v>
          </cell>
          <cell r="B79">
            <v>5336</v>
          </cell>
          <cell r="C79">
            <v>12493</v>
          </cell>
          <cell r="D79">
            <v>6550</v>
          </cell>
          <cell r="E79">
            <v>25242</v>
          </cell>
          <cell r="F79">
            <v>24403</v>
          </cell>
          <cell r="G79">
            <v>7828</v>
          </cell>
          <cell r="H79">
            <v>3666</v>
          </cell>
          <cell r="I79">
            <v>35311</v>
          </cell>
          <cell r="J79">
            <v>5358</v>
          </cell>
          <cell r="K79">
            <v>7127</v>
          </cell>
          <cell r="L79">
            <v>17121</v>
          </cell>
          <cell r="M79">
            <v>6126</v>
          </cell>
          <cell r="O79">
            <v>56</v>
          </cell>
          <cell r="R79">
            <v>2892</v>
          </cell>
          <cell r="T79">
            <v>3027</v>
          </cell>
          <cell r="X79">
            <v>16315</v>
          </cell>
          <cell r="Y79">
            <v>6873</v>
          </cell>
          <cell r="Z79">
            <v>10184</v>
          </cell>
          <cell r="AA79">
            <v>6173</v>
          </cell>
          <cell r="AB79">
            <v>2537</v>
          </cell>
          <cell r="AC79">
            <v>5230</v>
          </cell>
          <cell r="AE79">
            <v>3943</v>
          </cell>
          <cell r="AH79">
            <v>5773</v>
          </cell>
          <cell r="AI79">
            <v>0</v>
          </cell>
          <cell r="AJ79">
            <v>3715</v>
          </cell>
          <cell r="AK79">
            <v>4226</v>
          </cell>
          <cell r="AM79">
            <v>1988</v>
          </cell>
          <cell r="AN79">
            <v>2597</v>
          </cell>
          <cell r="AQ79">
            <v>2</v>
          </cell>
          <cell r="DN79">
            <v>232092</v>
          </cell>
          <cell r="DO79">
            <v>79</v>
          </cell>
        </row>
        <row r="80">
          <cell r="A80" t="str">
            <v>Cleveland, TN Metro Area</v>
          </cell>
          <cell r="B80">
            <v>5732</v>
          </cell>
          <cell r="C80">
            <v>15876</v>
          </cell>
          <cell r="D80">
            <v>18236</v>
          </cell>
          <cell r="E80">
            <v>6619</v>
          </cell>
          <cell r="G80">
            <v>25428</v>
          </cell>
          <cell r="H80">
            <v>11960</v>
          </cell>
          <cell r="J80">
            <v>4124</v>
          </cell>
          <cell r="L80">
            <v>3489</v>
          </cell>
          <cell r="O80">
            <v>5467</v>
          </cell>
          <cell r="S80">
            <v>1936</v>
          </cell>
          <cell r="AE80">
            <v>3613</v>
          </cell>
          <cell r="AF80">
            <v>1532</v>
          </cell>
          <cell r="DN80">
            <v>104012</v>
          </cell>
          <cell r="DO80">
            <v>80</v>
          </cell>
        </row>
        <row r="81">
          <cell r="A81" t="str">
            <v>Cleveland-Elyria-Mentor, OH Metro Area</v>
          </cell>
          <cell r="B81">
            <v>6313</v>
          </cell>
          <cell r="C81">
            <v>22706</v>
          </cell>
          <cell r="D81">
            <v>39090</v>
          </cell>
          <cell r="E81">
            <v>95123</v>
          </cell>
          <cell r="F81">
            <v>106025</v>
          </cell>
          <cell r="G81">
            <v>162285</v>
          </cell>
          <cell r="H81">
            <v>140733</v>
          </cell>
          <cell r="I81">
            <v>121449</v>
          </cell>
          <cell r="J81">
            <v>135524</v>
          </cell>
          <cell r="K81">
            <v>108342</v>
          </cell>
          <cell r="L81">
            <v>101783</v>
          </cell>
          <cell r="M81">
            <v>91797</v>
          </cell>
          <cell r="N81">
            <v>105273</v>
          </cell>
          <cell r="O81">
            <v>62849</v>
          </cell>
          <cell r="P81">
            <v>62394</v>
          </cell>
          <cell r="Q81">
            <v>50347</v>
          </cell>
          <cell r="R81">
            <v>60190</v>
          </cell>
          <cell r="S81">
            <v>44697</v>
          </cell>
          <cell r="T81">
            <v>45418</v>
          </cell>
          <cell r="U81">
            <v>39614</v>
          </cell>
          <cell r="V81">
            <v>36369</v>
          </cell>
          <cell r="W81">
            <v>33774</v>
          </cell>
          <cell r="X81">
            <v>47317</v>
          </cell>
          <cell r="Y81">
            <v>75473</v>
          </cell>
          <cell r="Z81">
            <v>35449</v>
          </cell>
          <cell r="AA81">
            <v>51936</v>
          </cell>
          <cell r="AB81">
            <v>41722</v>
          </cell>
          <cell r="AC81">
            <v>32406</v>
          </cell>
          <cell r="AD81">
            <v>30588</v>
          </cell>
          <cell r="AE81">
            <v>32025</v>
          </cell>
          <cell r="AF81">
            <v>10600</v>
          </cell>
          <cell r="AG81">
            <v>9675</v>
          </cell>
          <cell r="AH81">
            <v>20103</v>
          </cell>
          <cell r="AI81">
            <v>22144</v>
          </cell>
          <cell r="AJ81">
            <v>27871</v>
          </cell>
          <cell r="AK81">
            <v>8271</v>
          </cell>
          <cell r="AL81">
            <v>4453</v>
          </cell>
          <cell r="AM81">
            <v>8573</v>
          </cell>
          <cell r="AN81">
            <v>5643</v>
          </cell>
          <cell r="AO81">
            <v>6007</v>
          </cell>
          <cell r="AQ81">
            <v>5667</v>
          </cell>
          <cell r="DN81">
            <v>2148018</v>
          </cell>
          <cell r="DO81">
            <v>81</v>
          </cell>
        </row>
        <row r="82">
          <cell r="A82" t="str">
            <v>Coeur d'Alene, ID Metro Area</v>
          </cell>
          <cell r="B82">
            <v>9061</v>
          </cell>
          <cell r="C82">
            <v>3800</v>
          </cell>
          <cell r="D82">
            <v>13620</v>
          </cell>
          <cell r="E82">
            <v>4161</v>
          </cell>
          <cell r="F82">
            <v>11932</v>
          </cell>
          <cell r="G82">
            <v>15184</v>
          </cell>
          <cell r="H82">
            <v>9433</v>
          </cell>
          <cell r="I82">
            <v>7385</v>
          </cell>
          <cell r="K82">
            <v>4369</v>
          </cell>
          <cell r="L82">
            <v>8841</v>
          </cell>
          <cell r="M82">
            <v>6930</v>
          </cell>
          <cell r="P82">
            <v>7190</v>
          </cell>
          <cell r="R82">
            <v>2075</v>
          </cell>
          <cell r="T82">
            <v>4700</v>
          </cell>
          <cell r="DN82">
            <v>108681</v>
          </cell>
          <cell r="DO82">
            <v>82</v>
          </cell>
        </row>
        <row r="83">
          <cell r="A83" t="str">
            <v>College Station-Bryan, TX Metro Area</v>
          </cell>
          <cell r="B83">
            <v>19621</v>
          </cell>
          <cell r="C83">
            <v>35322</v>
          </cell>
          <cell r="D83">
            <v>34924</v>
          </cell>
          <cell r="E83">
            <v>6122</v>
          </cell>
          <cell r="F83">
            <v>22440</v>
          </cell>
          <cell r="G83">
            <v>6588</v>
          </cell>
          <cell r="H83">
            <v>13169</v>
          </cell>
          <cell r="I83">
            <v>9877</v>
          </cell>
          <cell r="K83">
            <v>3042</v>
          </cell>
          <cell r="P83">
            <v>3140</v>
          </cell>
          <cell r="S83">
            <v>1331</v>
          </cell>
          <cell r="T83">
            <v>3806</v>
          </cell>
          <cell r="Y83">
            <v>13858</v>
          </cell>
          <cell r="AC83">
            <v>4171</v>
          </cell>
          <cell r="AG83">
            <v>3924</v>
          </cell>
          <cell r="AH83">
            <v>1675</v>
          </cell>
          <cell r="AQ83">
            <v>1849</v>
          </cell>
          <cell r="DN83">
            <v>184859</v>
          </cell>
          <cell r="DO83">
            <v>83</v>
          </cell>
        </row>
        <row r="84">
          <cell r="A84" t="str">
            <v>Colorado Springs, CO Metro Area</v>
          </cell>
          <cell r="B84">
            <v>12291</v>
          </cell>
          <cell r="C84">
            <v>24509</v>
          </cell>
          <cell r="D84">
            <v>51935</v>
          </cell>
          <cell r="E84">
            <v>68036</v>
          </cell>
          <cell r="F84">
            <v>68552</v>
          </cell>
          <cell r="G84">
            <v>48000</v>
          </cell>
          <cell r="H84">
            <v>62785</v>
          </cell>
          <cell r="I84">
            <v>49166</v>
          </cell>
          <cell r="J84">
            <v>25232</v>
          </cell>
          <cell r="K84">
            <v>21176</v>
          </cell>
          <cell r="L84">
            <v>10228</v>
          </cell>
          <cell r="M84">
            <v>8904</v>
          </cell>
          <cell r="N84">
            <v>4046</v>
          </cell>
          <cell r="O84">
            <v>10287</v>
          </cell>
          <cell r="P84">
            <v>10095</v>
          </cell>
          <cell r="Q84">
            <v>7939</v>
          </cell>
          <cell r="R84">
            <v>9123</v>
          </cell>
          <cell r="S84">
            <v>6907</v>
          </cell>
          <cell r="T84">
            <v>9700</v>
          </cell>
          <cell r="U84">
            <v>7586</v>
          </cell>
          <cell r="W84">
            <v>5345</v>
          </cell>
          <cell r="X84">
            <v>5595</v>
          </cell>
          <cell r="AC84">
            <v>5876</v>
          </cell>
          <cell r="AE84">
            <v>4166</v>
          </cell>
          <cell r="DN84">
            <v>537479</v>
          </cell>
          <cell r="DO84">
            <v>84</v>
          </cell>
        </row>
        <row r="85">
          <cell r="A85" t="str">
            <v>Columbia, MO Metro Area</v>
          </cell>
          <cell r="B85">
            <v>18921</v>
          </cell>
          <cell r="C85">
            <v>11922</v>
          </cell>
          <cell r="D85">
            <v>35511</v>
          </cell>
          <cell r="E85">
            <v>15696</v>
          </cell>
          <cell r="F85">
            <v>20634</v>
          </cell>
          <cell r="H85">
            <v>7305</v>
          </cell>
          <cell r="I85">
            <v>3919</v>
          </cell>
          <cell r="N85">
            <v>11528</v>
          </cell>
          <cell r="O85">
            <v>5359</v>
          </cell>
          <cell r="V85">
            <v>4684</v>
          </cell>
          <cell r="W85">
            <v>3336</v>
          </cell>
          <cell r="Y85">
            <v>3782</v>
          </cell>
          <cell r="AD85">
            <v>3080</v>
          </cell>
          <cell r="DN85">
            <v>145677</v>
          </cell>
          <cell r="DO85">
            <v>85</v>
          </cell>
        </row>
        <row r="86">
          <cell r="A86" t="str">
            <v>Columbia, SC Metro Area</v>
          </cell>
          <cell r="B86">
            <v>7224</v>
          </cell>
          <cell r="C86">
            <v>32753</v>
          </cell>
          <cell r="D86">
            <v>43051</v>
          </cell>
          <cell r="E86">
            <v>39752</v>
          </cell>
          <cell r="F86">
            <v>36094</v>
          </cell>
          <cell r="G86">
            <v>50988</v>
          </cell>
          <cell r="H86">
            <v>38525</v>
          </cell>
          <cell r="I86">
            <v>20603</v>
          </cell>
          <cell r="J86">
            <v>22649</v>
          </cell>
          <cell r="K86">
            <v>43381</v>
          </cell>
          <cell r="L86">
            <v>25966</v>
          </cell>
          <cell r="M86">
            <v>39297</v>
          </cell>
          <cell r="N86">
            <v>28326</v>
          </cell>
          <cell r="O86">
            <v>14501</v>
          </cell>
          <cell r="P86">
            <v>11087</v>
          </cell>
          <cell r="Q86">
            <v>22714</v>
          </cell>
          <cell r="R86">
            <v>4097</v>
          </cell>
          <cell r="S86">
            <v>10499</v>
          </cell>
          <cell r="T86">
            <v>4487</v>
          </cell>
          <cell r="U86">
            <v>15756</v>
          </cell>
          <cell r="V86">
            <v>17195</v>
          </cell>
          <cell r="W86">
            <v>11284</v>
          </cell>
          <cell r="X86">
            <v>9722</v>
          </cell>
          <cell r="Y86">
            <v>7319</v>
          </cell>
          <cell r="Z86">
            <v>3980</v>
          </cell>
          <cell r="AA86">
            <v>10823</v>
          </cell>
          <cell r="AB86">
            <v>9268</v>
          </cell>
          <cell r="AD86">
            <v>1987</v>
          </cell>
          <cell r="AE86">
            <v>9968</v>
          </cell>
          <cell r="AF86">
            <v>10296</v>
          </cell>
          <cell r="AG86">
            <v>2218</v>
          </cell>
          <cell r="AH86">
            <v>4060</v>
          </cell>
          <cell r="AI86">
            <v>7984</v>
          </cell>
          <cell r="AK86">
            <v>2348</v>
          </cell>
          <cell r="AL86">
            <v>3725</v>
          </cell>
          <cell r="AM86">
            <v>7251</v>
          </cell>
          <cell r="AO86">
            <v>2784</v>
          </cell>
          <cell r="AQ86">
            <v>3825</v>
          </cell>
          <cell r="AT86">
            <v>4592</v>
          </cell>
          <cell r="AV86">
            <v>2422</v>
          </cell>
          <cell r="AW86">
            <v>2418</v>
          </cell>
          <cell r="DN86">
            <v>647219</v>
          </cell>
          <cell r="DO86">
            <v>86</v>
          </cell>
        </row>
        <row r="87">
          <cell r="A87" t="str">
            <v>Columbus, GA-AL Metro Area</v>
          </cell>
          <cell r="B87">
            <v>4084</v>
          </cell>
          <cell r="C87">
            <v>28374</v>
          </cell>
          <cell r="D87">
            <v>27711</v>
          </cell>
          <cell r="E87">
            <v>34143</v>
          </cell>
          <cell r="F87">
            <v>22295</v>
          </cell>
          <cell r="G87">
            <v>53078</v>
          </cell>
          <cell r="H87">
            <v>21980</v>
          </cell>
          <cell r="I87">
            <v>26600</v>
          </cell>
          <cell r="J87">
            <v>10343</v>
          </cell>
          <cell r="L87">
            <v>4380</v>
          </cell>
          <cell r="M87">
            <v>3169</v>
          </cell>
          <cell r="N87">
            <v>3310</v>
          </cell>
          <cell r="O87">
            <v>4818</v>
          </cell>
          <cell r="P87">
            <v>6586</v>
          </cell>
          <cell r="R87">
            <v>6279</v>
          </cell>
          <cell r="S87">
            <v>7493</v>
          </cell>
          <cell r="AA87">
            <v>4634</v>
          </cell>
          <cell r="AB87">
            <v>5460</v>
          </cell>
          <cell r="AC87">
            <v>3628</v>
          </cell>
          <cell r="AE87">
            <v>3505</v>
          </cell>
          <cell r="DN87">
            <v>281870</v>
          </cell>
          <cell r="DO87">
            <v>87</v>
          </cell>
        </row>
        <row r="88">
          <cell r="A88" t="str">
            <v>Columbus, IN Metro Area</v>
          </cell>
          <cell r="B88">
            <v>4799</v>
          </cell>
          <cell r="C88">
            <v>11697</v>
          </cell>
          <cell r="E88">
            <v>22108</v>
          </cell>
          <cell r="F88">
            <v>4226</v>
          </cell>
          <cell r="G88">
            <v>10259</v>
          </cell>
          <cell r="H88">
            <v>8052</v>
          </cell>
          <cell r="I88">
            <v>4819</v>
          </cell>
          <cell r="L88">
            <v>5510</v>
          </cell>
          <cell r="DN88">
            <v>71470</v>
          </cell>
          <cell r="DO88">
            <v>88</v>
          </cell>
        </row>
        <row r="89">
          <cell r="A89" t="str">
            <v>Columbus, OH Metro Area</v>
          </cell>
          <cell r="B89">
            <v>5818</v>
          </cell>
          <cell r="C89">
            <v>44898</v>
          </cell>
          <cell r="D89">
            <v>90114</v>
          </cell>
          <cell r="E89">
            <v>89145</v>
          </cell>
          <cell r="F89">
            <v>94232</v>
          </cell>
          <cell r="G89">
            <v>88359</v>
          </cell>
          <cell r="H89">
            <v>103525</v>
          </cell>
          <cell r="I89">
            <v>116390</v>
          </cell>
          <cell r="J89">
            <v>139747</v>
          </cell>
          <cell r="K89">
            <v>86413</v>
          </cell>
          <cell r="L89">
            <v>75443</v>
          </cell>
          <cell r="M89">
            <v>88476</v>
          </cell>
          <cell r="N89">
            <v>57956</v>
          </cell>
          <cell r="O89">
            <v>47843</v>
          </cell>
          <cell r="P89">
            <v>39618</v>
          </cell>
          <cell r="Q89">
            <v>15405</v>
          </cell>
          <cell r="R89">
            <v>24109</v>
          </cell>
          <cell r="S89">
            <v>7179</v>
          </cell>
          <cell r="T89">
            <v>16850</v>
          </cell>
          <cell r="U89">
            <v>9079</v>
          </cell>
          <cell r="V89">
            <v>8454</v>
          </cell>
          <cell r="W89">
            <v>31364</v>
          </cell>
          <cell r="X89">
            <v>12152</v>
          </cell>
          <cell r="Y89">
            <v>29487</v>
          </cell>
          <cell r="Z89">
            <v>15558</v>
          </cell>
          <cell r="AA89">
            <v>35961</v>
          </cell>
          <cell r="AB89">
            <v>34803</v>
          </cell>
          <cell r="AC89">
            <v>33327</v>
          </cell>
          <cell r="AD89">
            <v>20580</v>
          </cell>
          <cell r="AE89">
            <v>22459</v>
          </cell>
          <cell r="AF89">
            <v>2012</v>
          </cell>
          <cell r="AG89">
            <v>35897</v>
          </cell>
          <cell r="AH89">
            <v>17826</v>
          </cell>
          <cell r="AI89">
            <v>16607</v>
          </cell>
          <cell r="AJ89">
            <v>14661</v>
          </cell>
          <cell r="AL89">
            <v>5844</v>
          </cell>
          <cell r="AN89">
            <v>8755</v>
          </cell>
          <cell r="AO89">
            <v>5656</v>
          </cell>
          <cell r="AP89">
            <v>5738</v>
          </cell>
          <cell r="AR89">
            <v>6798</v>
          </cell>
          <cell r="AV89">
            <v>4103</v>
          </cell>
          <cell r="AZ89">
            <v>4267</v>
          </cell>
          <cell r="DN89">
            <v>1612908</v>
          </cell>
          <cell r="DO89">
            <v>89</v>
          </cell>
        </row>
        <row r="90">
          <cell r="A90" t="str">
            <v>Corpus Christi, TX Metro Area</v>
          </cell>
          <cell r="B90">
            <v>4739</v>
          </cell>
          <cell r="C90">
            <v>26150</v>
          </cell>
          <cell r="D90">
            <v>23150</v>
          </cell>
          <cell r="E90">
            <v>39235</v>
          </cell>
          <cell r="F90">
            <v>19433</v>
          </cell>
          <cell r="G90">
            <v>32841</v>
          </cell>
          <cell r="H90">
            <v>19560</v>
          </cell>
          <cell r="I90">
            <v>37819</v>
          </cell>
          <cell r="J90">
            <v>32038</v>
          </cell>
          <cell r="K90">
            <v>9404</v>
          </cell>
          <cell r="L90">
            <v>11548</v>
          </cell>
          <cell r="M90">
            <v>19011</v>
          </cell>
          <cell r="N90">
            <v>16582</v>
          </cell>
          <cell r="O90">
            <v>10190</v>
          </cell>
          <cell r="P90">
            <v>3240</v>
          </cell>
          <cell r="Q90">
            <v>2954</v>
          </cell>
          <cell r="R90">
            <v>34550</v>
          </cell>
          <cell r="S90">
            <v>6936</v>
          </cell>
          <cell r="T90">
            <v>4666</v>
          </cell>
          <cell r="V90">
            <v>5860</v>
          </cell>
          <cell r="W90">
            <v>6226</v>
          </cell>
          <cell r="X90">
            <v>8263</v>
          </cell>
          <cell r="AA90">
            <v>3644</v>
          </cell>
          <cell r="AB90">
            <v>5688</v>
          </cell>
          <cell r="AD90">
            <v>5075</v>
          </cell>
          <cell r="AE90">
            <v>5438</v>
          </cell>
          <cell r="AH90">
            <v>3309</v>
          </cell>
          <cell r="AI90">
            <v>5697</v>
          </cell>
          <cell r="DN90">
            <v>403246</v>
          </cell>
          <cell r="DO90">
            <v>90</v>
          </cell>
        </row>
        <row r="91">
          <cell r="A91" t="str">
            <v>Corvallis, OR Metro Area</v>
          </cell>
          <cell r="B91">
            <v>16063</v>
          </cell>
          <cell r="C91">
            <v>12568</v>
          </cell>
          <cell r="D91">
            <v>22061</v>
          </cell>
          <cell r="E91">
            <v>3135</v>
          </cell>
          <cell r="F91">
            <v>3128</v>
          </cell>
          <cell r="G91">
            <v>3474</v>
          </cell>
          <cell r="H91">
            <v>3743</v>
          </cell>
          <cell r="K91">
            <v>6994</v>
          </cell>
          <cell r="N91">
            <v>3315</v>
          </cell>
          <cell r="P91">
            <v>3662</v>
          </cell>
          <cell r="DN91">
            <v>78143</v>
          </cell>
          <cell r="DO91">
            <v>91</v>
          </cell>
        </row>
        <row r="92">
          <cell r="A92" t="str">
            <v>Crestview-Fort Walton Beach-Destin, FL Metro Area</v>
          </cell>
          <cell r="C92">
            <v>11002</v>
          </cell>
          <cell r="D92">
            <v>13137</v>
          </cell>
          <cell r="F92">
            <v>4371</v>
          </cell>
          <cell r="G92">
            <v>4142</v>
          </cell>
          <cell r="I92">
            <v>6736</v>
          </cell>
          <cell r="O92">
            <v>1795</v>
          </cell>
          <cell r="S92">
            <v>15518</v>
          </cell>
          <cell r="T92">
            <v>7133</v>
          </cell>
          <cell r="V92">
            <v>21397</v>
          </cell>
          <cell r="W92">
            <v>25440</v>
          </cell>
          <cell r="X92">
            <v>16972</v>
          </cell>
          <cell r="Y92">
            <v>10208</v>
          </cell>
          <cell r="Z92">
            <v>13889</v>
          </cell>
          <cell r="AA92">
            <v>7084</v>
          </cell>
          <cell r="AB92">
            <v>10099</v>
          </cell>
          <cell r="AC92">
            <v>1596</v>
          </cell>
          <cell r="DN92">
            <v>170519</v>
          </cell>
          <cell r="DO92">
            <v>92</v>
          </cell>
        </row>
        <row r="93">
          <cell r="A93" t="str">
            <v>Cumberland, MD-WV Metro Area</v>
          </cell>
          <cell r="B93">
            <v>6884</v>
          </cell>
          <cell r="C93">
            <v>18537</v>
          </cell>
          <cell r="D93">
            <v>4470</v>
          </cell>
          <cell r="E93">
            <v>14301</v>
          </cell>
          <cell r="H93">
            <v>2104</v>
          </cell>
          <cell r="I93">
            <v>10702</v>
          </cell>
          <cell r="J93">
            <v>9409</v>
          </cell>
          <cell r="K93">
            <v>7414</v>
          </cell>
          <cell r="N93">
            <v>3739</v>
          </cell>
          <cell r="O93">
            <v>3642</v>
          </cell>
          <cell r="T93">
            <v>4229</v>
          </cell>
          <cell r="U93">
            <v>5078</v>
          </cell>
          <cell r="W93">
            <v>9177</v>
          </cell>
          <cell r="Z93">
            <v>2316</v>
          </cell>
          <cell r="DN93">
            <v>102002</v>
          </cell>
          <cell r="DO93">
            <v>93</v>
          </cell>
        </row>
        <row r="94">
          <cell r="A94" t="str">
            <v>Dallas-Fort Worth-Arlington, TX Metro Area</v>
          </cell>
          <cell r="B94">
            <v>4264</v>
          </cell>
          <cell r="C94">
            <v>33557</v>
          </cell>
          <cell r="D94">
            <v>101915</v>
          </cell>
          <cell r="E94">
            <v>93485</v>
          </cell>
          <cell r="F94">
            <v>112875</v>
          </cell>
          <cell r="G94">
            <v>124013</v>
          </cell>
          <cell r="H94">
            <v>121041</v>
          </cell>
          <cell r="I94">
            <v>174529</v>
          </cell>
          <cell r="J94">
            <v>163036</v>
          </cell>
          <cell r="K94">
            <v>172547</v>
          </cell>
          <cell r="L94">
            <v>158400</v>
          </cell>
          <cell r="M94">
            <v>245702</v>
          </cell>
          <cell r="N94">
            <v>216840</v>
          </cell>
          <cell r="O94">
            <v>187497</v>
          </cell>
          <cell r="P94">
            <v>150382</v>
          </cell>
          <cell r="Q94">
            <v>161261</v>
          </cell>
          <cell r="R94">
            <v>170905</v>
          </cell>
          <cell r="S94">
            <v>163795</v>
          </cell>
          <cell r="T94">
            <v>191386</v>
          </cell>
          <cell r="U94">
            <v>129600</v>
          </cell>
          <cell r="V94">
            <v>149309</v>
          </cell>
          <cell r="W94">
            <v>157954</v>
          </cell>
          <cell r="X94">
            <v>155618</v>
          </cell>
          <cell r="Y94">
            <v>118973</v>
          </cell>
          <cell r="Z94">
            <v>108648</v>
          </cell>
          <cell r="AA94">
            <v>108660</v>
          </cell>
          <cell r="AB94">
            <v>88794</v>
          </cell>
          <cell r="AC94">
            <v>111533</v>
          </cell>
          <cell r="AD94">
            <v>93343</v>
          </cell>
          <cell r="AE94">
            <v>90474</v>
          </cell>
          <cell r="AF94">
            <v>76869</v>
          </cell>
          <cell r="AG94">
            <v>98581</v>
          </cell>
          <cell r="AH94">
            <v>85483</v>
          </cell>
          <cell r="AI94">
            <v>84078</v>
          </cell>
          <cell r="AJ94">
            <v>97521</v>
          </cell>
          <cell r="AK94">
            <v>71323</v>
          </cell>
          <cell r="AL94">
            <v>98428</v>
          </cell>
          <cell r="AM94">
            <v>53354</v>
          </cell>
          <cell r="AN94">
            <v>50040</v>
          </cell>
          <cell r="AO94">
            <v>37075</v>
          </cell>
          <cell r="AP94">
            <v>28733</v>
          </cell>
          <cell r="AQ94">
            <v>17304</v>
          </cell>
          <cell r="AR94">
            <v>31047</v>
          </cell>
          <cell r="AS94">
            <v>30746</v>
          </cell>
          <cell r="AT94">
            <v>24927</v>
          </cell>
          <cell r="AU94">
            <v>7300</v>
          </cell>
          <cell r="AV94">
            <v>40924</v>
          </cell>
          <cell r="AW94">
            <v>14307</v>
          </cell>
          <cell r="AX94">
            <v>12814</v>
          </cell>
          <cell r="AY94">
            <v>15040</v>
          </cell>
          <cell r="AZ94">
            <v>7313</v>
          </cell>
          <cell r="BA94">
            <v>1477</v>
          </cell>
          <cell r="BB94">
            <v>19496</v>
          </cell>
          <cell r="BC94">
            <v>4830</v>
          </cell>
          <cell r="BD94">
            <v>2731</v>
          </cell>
          <cell r="BE94">
            <v>5413</v>
          </cell>
          <cell r="BF94">
            <v>7501</v>
          </cell>
          <cell r="BG94">
            <v>10477</v>
          </cell>
          <cell r="BH94">
            <v>5510</v>
          </cell>
          <cell r="BI94">
            <v>5564</v>
          </cell>
          <cell r="BJ94">
            <v>11653</v>
          </cell>
          <cell r="BK94">
            <v>10351</v>
          </cell>
          <cell r="BM94">
            <v>9528</v>
          </cell>
          <cell r="BP94">
            <v>7423</v>
          </cell>
          <cell r="BR94">
            <v>11202</v>
          </cell>
          <cell r="BY94">
            <v>2893</v>
          </cell>
          <cell r="BZ94">
            <v>2421</v>
          </cell>
          <cell r="DN94">
            <v>5162013</v>
          </cell>
          <cell r="DO94">
            <v>94</v>
          </cell>
        </row>
        <row r="95">
          <cell r="A95" t="str">
            <v>Dalton, GA Metro Area</v>
          </cell>
          <cell r="B95">
            <v>10398</v>
          </cell>
          <cell r="C95">
            <v>13785</v>
          </cell>
          <cell r="D95">
            <v>5091</v>
          </cell>
          <cell r="E95">
            <v>15755</v>
          </cell>
          <cell r="F95">
            <v>12281</v>
          </cell>
          <cell r="G95">
            <v>7222</v>
          </cell>
          <cell r="H95">
            <v>9435</v>
          </cell>
          <cell r="I95">
            <v>4572</v>
          </cell>
          <cell r="K95">
            <v>6350</v>
          </cell>
          <cell r="L95">
            <v>17812</v>
          </cell>
          <cell r="M95">
            <v>7765</v>
          </cell>
          <cell r="O95">
            <v>3937</v>
          </cell>
          <cell r="P95">
            <v>2073</v>
          </cell>
          <cell r="R95">
            <v>3580</v>
          </cell>
          <cell r="DN95">
            <v>120056</v>
          </cell>
          <cell r="DO95">
            <v>95</v>
          </cell>
        </row>
        <row r="96">
          <cell r="A96" t="str">
            <v>Danville, IL Metro Area</v>
          </cell>
          <cell r="B96">
            <v>3842</v>
          </cell>
          <cell r="C96">
            <v>11135</v>
          </cell>
          <cell r="D96">
            <v>25504</v>
          </cell>
          <cell r="E96">
            <v>6411</v>
          </cell>
          <cell r="G96">
            <v>7315</v>
          </cell>
          <cell r="I96">
            <v>2313</v>
          </cell>
          <cell r="J96">
            <v>3470</v>
          </cell>
          <cell r="L96">
            <v>8985</v>
          </cell>
          <cell r="N96">
            <v>2626</v>
          </cell>
          <cell r="P96">
            <v>3114</v>
          </cell>
          <cell r="V96">
            <v>3510</v>
          </cell>
          <cell r="Y96">
            <v>5704</v>
          </cell>
          <cell r="DN96">
            <v>83929</v>
          </cell>
          <cell r="DO96">
            <v>96</v>
          </cell>
        </row>
        <row r="97">
          <cell r="A97" t="str">
            <v>Danville, VA Metro Area</v>
          </cell>
          <cell r="B97">
            <v>5050</v>
          </cell>
          <cell r="C97">
            <v>19550</v>
          </cell>
          <cell r="D97">
            <v>16499</v>
          </cell>
          <cell r="F97">
            <v>19675</v>
          </cell>
          <cell r="I97">
            <v>5994</v>
          </cell>
          <cell r="J97">
            <v>6522</v>
          </cell>
          <cell r="M97">
            <v>6805</v>
          </cell>
          <cell r="N97">
            <v>3042</v>
          </cell>
          <cell r="R97">
            <v>4877</v>
          </cell>
          <cell r="S97">
            <v>3870</v>
          </cell>
          <cell r="U97">
            <v>2075</v>
          </cell>
          <cell r="Y97">
            <v>3099</v>
          </cell>
          <cell r="AD97">
            <v>4224</v>
          </cell>
          <cell r="AE97">
            <v>4150</v>
          </cell>
          <cell r="AJ97">
            <v>4671</v>
          </cell>
          <cell r="DN97">
            <v>110103</v>
          </cell>
          <cell r="DO97">
            <v>97</v>
          </cell>
        </row>
        <row r="98">
          <cell r="A98" t="str">
            <v>Davenport-Moline-Rock Island, IA-IL Metro Area</v>
          </cell>
          <cell r="B98">
            <v>9444</v>
          </cell>
          <cell r="C98">
            <v>40358</v>
          </cell>
          <cell r="D98">
            <v>43343</v>
          </cell>
          <cell r="E98">
            <v>56575</v>
          </cell>
          <cell r="F98">
            <v>29021</v>
          </cell>
          <cell r="G98">
            <v>27825</v>
          </cell>
          <cell r="H98">
            <v>18828</v>
          </cell>
          <cell r="I98">
            <v>21066</v>
          </cell>
          <cell r="J98">
            <v>24887</v>
          </cell>
          <cell r="K98">
            <v>8516</v>
          </cell>
          <cell r="L98">
            <v>5062</v>
          </cell>
          <cell r="M98">
            <v>5358</v>
          </cell>
          <cell r="N98">
            <v>5958</v>
          </cell>
          <cell r="O98">
            <v>3751</v>
          </cell>
          <cell r="P98">
            <v>8464</v>
          </cell>
          <cell r="Q98">
            <v>9911</v>
          </cell>
          <cell r="R98">
            <v>4635</v>
          </cell>
          <cell r="S98">
            <v>4181</v>
          </cell>
          <cell r="X98">
            <v>7053</v>
          </cell>
          <cell r="Y98">
            <v>4125</v>
          </cell>
          <cell r="Z98">
            <v>8344</v>
          </cell>
          <cell r="AB98">
            <v>3196</v>
          </cell>
          <cell r="AE98">
            <v>6614</v>
          </cell>
          <cell r="AH98">
            <v>2670</v>
          </cell>
          <cell r="AM98">
            <v>2944</v>
          </cell>
          <cell r="AN98">
            <v>7011</v>
          </cell>
          <cell r="AO98">
            <v>6928</v>
          </cell>
          <cell r="DN98">
            <v>376068</v>
          </cell>
          <cell r="DO98">
            <v>98</v>
          </cell>
        </row>
        <row r="99">
          <cell r="A99" t="str">
            <v>Dayton, OH Metro Area</v>
          </cell>
          <cell r="B99">
            <v>9815</v>
          </cell>
          <cell r="C99">
            <v>41403</v>
          </cell>
          <cell r="D99">
            <v>71425</v>
          </cell>
          <cell r="E99">
            <v>57798</v>
          </cell>
          <cell r="F99">
            <v>65346</v>
          </cell>
          <cell r="G99">
            <v>49348</v>
          </cell>
          <cell r="H99">
            <v>84317</v>
          </cell>
          <cell r="I99">
            <v>57652</v>
          </cell>
          <cell r="J99">
            <v>53322</v>
          </cell>
          <cell r="K99">
            <v>74042</v>
          </cell>
          <cell r="L99">
            <v>38933</v>
          </cell>
          <cell r="M99">
            <v>39867</v>
          </cell>
          <cell r="N99">
            <v>5947</v>
          </cell>
          <cell r="O99">
            <v>32953</v>
          </cell>
          <cell r="P99">
            <v>13668</v>
          </cell>
          <cell r="Q99">
            <v>14268</v>
          </cell>
          <cell r="R99">
            <v>11701</v>
          </cell>
          <cell r="S99">
            <v>6167</v>
          </cell>
          <cell r="T99">
            <v>10679</v>
          </cell>
          <cell r="U99">
            <v>9744</v>
          </cell>
          <cell r="V99">
            <v>16712</v>
          </cell>
          <cell r="W99">
            <v>12645</v>
          </cell>
          <cell r="X99">
            <v>7358</v>
          </cell>
          <cell r="Y99">
            <v>10204</v>
          </cell>
          <cell r="Z99">
            <v>2319</v>
          </cell>
          <cell r="AA99">
            <v>10533</v>
          </cell>
          <cell r="AB99">
            <v>15869</v>
          </cell>
          <cell r="AC99">
            <v>14202</v>
          </cell>
          <cell r="AD99">
            <v>3575</v>
          </cell>
          <cell r="AF99">
            <v>3047</v>
          </cell>
          <cell r="AG99">
            <v>3450</v>
          </cell>
          <cell r="DN99">
            <v>848309</v>
          </cell>
          <cell r="DO99">
            <v>99</v>
          </cell>
        </row>
        <row r="100">
          <cell r="A100" t="str">
            <v>Decatur, AL Metro Area</v>
          </cell>
          <cell r="B100">
            <v>4422</v>
          </cell>
          <cell r="C100">
            <v>14862</v>
          </cell>
          <cell r="D100">
            <v>15127</v>
          </cell>
          <cell r="E100">
            <v>12975</v>
          </cell>
          <cell r="F100">
            <v>3812</v>
          </cell>
          <cell r="G100">
            <v>6170</v>
          </cell>
          <cell r="H100">
            <v>1128</v>
          </cell>
          <cell r="J100">
            <v>4124</v>
          </cell>
          <cell r="K100">
            <v>6086</v>
          </cell>
          <cell r="L100">
            <v>5198</v>
          </cell>
          <cell r="M100">
            <v>14854</v>
          </cell>
          <cell r="N100">
            <v>10924</v>
          </cell>
          <cell r="P100">
            <v>4956</v>
          </cell>
          <cell r="R100">
            <v>2169</v>
          </cell>
          <cell r="S100">
            <v>5456</v>
          </cell>
          <cell r="T100">
            <v>4283</v>
          </cell>
          <cell r="W100">
            <v>9319</v>
          </cell>
          <cell r="X100">
            <v>5265</v>
          </cell>
          <cell r="Y100">
            <v>12835</v>
          </cell>
          <cell r="AD100">
            <v>1936</v>
          </cell>
          <cell r="DN100">
            <v>145901</v>
          </cell>
          <cell r="DO100">
            <v>100</v>
          </cell>
        </row>
        <row r="101">
          <cell r="A101" t="str">
            <v>Decatur, IL Metro Area</v>
          </cell>
          <cell r="B101">
            <v>16306</v>
          </cell>
          <cell r="C101">
            <v>21989</v>
          </cell>
          <cell r="D101">
            <v>28889</v>
          </cell>
          <cell r="E101">
            <v>17356</v>
          </cell>
          <cell r="G101">
            <v>5689</v>
          </cell>
          <cell r="H101">
            <v>12050</v>
          </cell>
          <cell r="I101">
            <v>4638</v>
          </cell>
          <cell r="J101">
            <v>2045</v>
          </cell>
          <cell r="L101">
            <v>2302</v>
          </cell>
          <cell r="N101">
            <v>3426</v>
          </cell>
          <cell r="DN101">
            <v>114690</v>
          </cell>
          <cell r="DO101">
            <v>101</v>
          </cell>
        </row>
        <row r="102">
          <cell r="A102" t="str">
            <v>Deltona-Daytona Beach-Ormond Beach, FL Metro Area</v>
          </cell>
          <cell r="C102">
            <v>19468</v>
          </cell>
          <cell r="D102">
            <v>19105</v>
          </cell>
          <cell r="E102">
            <v>38733</v>
          </cell>
          <cell r="F102">
            <v>8052</v>
          </cell>
          <cell r="G102">
            <v>17349</v>
          </cell>
          <cell r="H102">
            <v>7658</v>
          </cell>
          <cell r="I102">
            <v>13648</v>
          </cell>
          <cell r="J102">
            <v>16330</v>
          </cell>
          <cell r="K102">
            <v>4832</v>
          </cell>
          <cell r="L102">
            <v>5682</v>
          </cell>
          <cell r="M102">
            <v>10115</v>
          </cell>
          <cell r="P102">
            <v>4338</v>
          </cell>
          <cell r="Q102">
            <v>9688</v>
          </cell>
          <cell r="R102">
            <v>3790</v>
          </cell>
          <cell r="S102">
            <v>18485</v>
          </cell>
          <cell r="T102">
            <v>30645</v>
          </cell>
          <cell r="U102">
            <v>35412</v>
          </cell>
          <cell r="V102">
            <v>32078</v>
          </cell>
          <cell r="W102">
            <v>23814</v>
          </cell>
          <cell r="X102">
            <v>34204</v>
          </cell>
          <cell r="Y102">
            <v>20346</v>
          </cell>
          <cell r="Z102">
            <v>21123</v>
          </cell>
          <cell r="AA102">
            <v>10076</v>
          </cell>
          <cell r="AB102">
            <v>15254</v>
          </cell>
          <cell r="AC102">
            <v>8711</v>
          </cell>
          <cell r="AE102">
            <v>8620</v>
          </cell>
          <cell r="AF102">
            <v>3166</v>
          </cell>
          <cell r="AH102">
            <v>2665</v>
          </cell>
          <cell r="DN102">
            <v>443387</v>
          </cell>
          <cell r="DO102">
            <v>102</v>
          </cell>
        </row>
        <row r="103">
          <cell r="A103" t="str">
            <v>Denver-Aurora-Broomfield, CO Metro Area</v>
          </cell>
          <cell r="B103">
            <v>28072</v>
          </cell>
          <cell r="C103">
            <v>62107</v>
          </cell>
          <cell r="D103">
            <v>103229</v>
          </cell>
          <cell r="E103">
            <v>115948</v>
          </cell>
          <cell r="F103">
            <v>123903</v>
          </cell>
          <cell r="G103">
            <v>113101</v>
          </cell>
          <cell r="H103">
            <v>158668</v>
          </cell>
          <cell r="I103">
            <v>203412</v>
          </cell>
          <cell r="J103">
            <v>189010</v>
          </cell>
          <cell r="K103">
            <v>170963</v>
          </cell>
          <cell r="L103">
            <v>159309</v>
          </cell>
          <cell r="M103">
            <v>167307</v>
          </cell>
          <cell r="N103">
            <v>130111</v>
          </cell>
          <cell r="O103">
            <v>121921</v>
          </cell>
          <cell r="P103">
            <v>76885</v>
          </cell>
          <cell r="Q103">
            <v>27127</v>
          </cell>
          <cell r="R103">
            <v>19014</v>
          </cell>
          <cell r="S103">
            <v>14334</v>
          </cell>
          <cell r="T103">
            <v>19176</v>
          </cell>
          <cell r="U103">
            <v>38003</v>
          </cell>
          <cell r="V103">
            <v>13429</v>
          </cell>
          <cell r="W103">
            <v>9347</v>
          </cell>
          <cell r="X103">
            <v>9690</v>
          </cell>
          <cell r="Y103">
            <v>4138</v>
          </cell>
          <cell r="Z103">
            <v>7544</v>
          </cell>
          <cell r="AA103">
            <v>15404</v>
          </cell>
          <cell r="AB103">
            <v>13400</v>
          </cell>
          <cell r="AC103">
            <v>16944</v>
          </cell>
          <cell r="AD103">
            <v>318</v>
          </cell>
          <cell r="AE103">
            <v>3246</v>
          </cell>
          <cell r="AF103">
            <v>3235</v>
          </cell>
          <cell r="AG103">
            <v>5534</v>
          </cell>
          <cell r="AH103">
            <v>4396</v>
          </cell>
          <cell r="AI103">
            <v>8410</v>
          </cell>
          <cell r="AK103">
            <v>3054</v>
          </cell>
          <cell r="AL103">
            <v>5019</v>
          </cell>
          <cell r="AO103">
            <v>4023</v>
          </cell>
          <cell r="AR103">
            <v>1970</v>
          </cell>
          <cell r="AS103">
            <v>1573</v>
          </cell>
          <cell r="BH103">
            <v>1530</v>
          </cell>
          <cell r="BM103">
            <v>1880</v>
          </cell>
          <cell r="BO103">
            <v>1953</v>
          </cell>
          <cell r="BQ103">
            <v>1833</v>
          </cell>
          <cell r="DN103">
            <v>2179470</v>
          </cell>
          <cell r="DO103">
            <v>103</v>
          </cell>
        </row>
        <row r="104">
          <cell r="A104" t="str">
            <v>Des Moines-West Des Moines, IA Metro Area</v>
          </cell>
          <cell r="B104">
            <v>7705</v>
          </cell>
          <cell r="C104">
            <v>26722</v>
          </cell>
          <cell r="D104">
            <v>69283</v>
          </cell>
          <cell r="E104">
            <v>57717</v>
          </cell>
          <cell r="F104">
            <v>37414</v>
          </cell>
          <cell r="G104">
            <v>36009</v>
          </cell>
          <cell r="H104">
            <v>35830</v>
          </cell>
          <cell r="I104">
            <v>26078</v>
          </cell>
          <cell r="J104">
            <v>38593</v>
          </cell>
          <cell r="K104">
            <v>24868</v>
          </cell>
          <cell r="L104">
            <v>25629</v>
          </cell>
          <cell r="M104">
            <v>746</v>
          </cell>
          <cell r="N104">
            <v>7134</v>
          </cell>
          <cell r="O104">
            <v>3329</v>
          </cell>
          <cell r="P104">
            <v>8957</v>
          </cell>
          <cell r="Q104">
            <v>8928</v>
          </cell>
          <cell r="R104">
            <v>6181</v>
          </cell>
          <cell r="S104">
            <v>3337</v>
          </cell>
          <cell r="T104">
            <v>3634</v>
          </cell>
          <cell r="V104">
            <v>3301</v>
          </cell>
          <cell r="W104">
            <v>12837</v>
          </cell>
          <cell r="Y104">
            <v>4341</v>
          </cell>
          <cell r="AC104">
            <v>4908</v>
          </cell>
          <cell r="AD104">
            <v>2921</v>
          </cell>
          <cell r="AF104">
            <v>13646</v>
          </cell>
          <cell r="AP104">
            <v>8754</v>
          </cell>
          <cell r="AZ104">
            <v>2594</v>
          </cell>
          <cell r="DN104">
            <v>481396</v>
          </cell>
          <cell r="DO104">
            <v>104</v>
          </cell>
        </row>
        <row r="105">
          <cell r="A105" t="str">
            <v>Detroit-Warren-Livonia, MI Metro Area</v>
          </cell>
          <cell r="B105">
            <v>9713</v>
          </cell>
          <cell r="C105">
            <v>26698</v>
          </cell>
          <cell r="D105">
            <v>38654</v>
          </cell>
          <cell r="E105">
            <v>63944</v>
          </cell>
          <cell r="F105">
            <v>120541</v>
          </cell>
          <cell r="G105">
            <v>113409</v>
          </cell>
          <cell r="H105">
            <v>146005</v>
          </cell>
          <cell r="I105">
            <v>194552</v>
          </cell>
          <cell r="J105">
            <v>188523</v>
          </cell>
          <cell r="K105">
            <v>207365</v>
          </cell>
          <cell r="L105">
            <v>184132</v>
          </cell>
          <cell r="M105">
            <v>215553</v>
          </cell>
          <cell r="N105">
            <v>189965</v>
          </cell>
          <cell r="O105">
            <v>199976</v>
          </cell>
          <cell r="P105">
            <v>158840</v>
          </cell>
          <cell r="Q105">
            <v>169658</v>
          </cell>
          <cell r="R105">
            <v>175447</v>
          </cell>
          <cell r="S105">
            <v>131116</v>
          </cell>
          <cell r="T105">
            <v>147484</v>
          </cell>
          <cell r="U105">
            <v>141705</v>
          </cell>
          <cell r="V105">
            <v>131467</v>
          </cell>
          <cell r="W105">
            <v>126186</v>
          </cell>
          <cell r="X105">
            <v>142125</v>
          </cell>
          <cell r="Y105">
            <v>101028</v>
          </cell>
          <cell r="Z105">
            <v>94193</v>
          </cell>
          <cell r="AA105">
            <v>96898</v>
          </cell>
          <cell r="AB105">
            <v>83473</v>
          </cell>
          <cell r="AC105">
            <v>79255</v>
          </cell>
          <cell r="AD105">
            <v>42729</v>
          </cell>
          <cell r="AE105">
            <v>43973</v>
          </cell>
          <cell r="AF105">
            <v>47999</v>
          </cell>
          <cell r="AG105">
            <v>45471</v>
          </cell>
          <cell r="AH105">
            <v>45982</v>
          </cell>
          <cell r="AI105">
            <v>29129</v>
          </cell>
          <cell r="AJ105">
            <v>18465</v>
          </cell>
          <cell r="AK105">
            <v>36008</v>
          </cell>
          <cell r="AL105">
            <v>34817</v>
          </cell>
          <cell r="AM105">
            <v>31276</v>
          </cell>
          <cell r="AN105">
            <v>16371</v>
          </cell>
          <cell r="AO105">
            <v>23551</v>
          </cell>
          <cell r="AP105">
            <v>20300</v>
          </cell>
          <cell r="AQ105">
            <v>24591</v>
          </cell>
          <cell r="AR105">
            <v>23442</v>
          </cell>
          <cell r="AS105">
            <v>19002</v>
          </cell>
          <cell r="AT105">
            <v>23145</v>
          </cell>
          <cell r="AU105">
            <v>18070</v>
          </cell>
          <cell r="AV105">
            <v>11074</v>
          </cell>
          <cell r="AW105">
            <v>13804</v>
          </cell>
          <cell r="AX105">
            <v>21282</v>
          </cell>
          <cell r="AY105">
            <v>24910</v>
          </cell>
          <cell r="AZ105">
            <v>10856</v>
          </cell>
          <cell r="BA105">
            <v>14952</v>
          </cell>
          <cell r="BB105">
            <v>15238</v>
          </cell>
          <cell r="BC105">
            <v>12787</v>
          </cell>
          <cell r="BD105">
            <v>29221</v>
          </cell>
          <cell r="BE105">
            <v>23106</v>
          </cell>
          <cell r="BF105">
            <v>10530</v>
          </cell>
          <cell r="BG105">
            <v>11772</v>
          </cell>
          <cell r="BH105">
            <v>7448</v>
          </cell>
          <cell r="BJ105">
            <v>18779</v>
          </cell>
          <cell r="BN105">
            <v>1975</v>
          </cell>
          <cell r="BP105">
            <v>2817</v>
          </cell>
          <cell r="DN105">
            <v>4452777</v>
          </cell>
          <cell r="DO105">
            <v>105</v>
          </cell>
        </row>
        <row r="106">
          <cell r="A106" t="str">
            <v>Dothan, AL Metro Area</v>
          </cell>
          <cell r="B106">
            <v>5412</v>
          </cell>
          <cell r="C106">
            <v>15862</v>
          </cell>
          <cell r="D106">
            <v>15441</v>
          </cell>
          <cell r="E106">
            <v>6235</v>
          </cell>
          <cell r="F106">
            <v>16833</v>
          </cell>
          <cell r="H106">
            <v>4417</v>
          </cell>
          <cell r="I106">
            <v>6262</v>
          </cell>
          <cell r="J106">
            <v>6360</v>
          </cell>
          <cell r="K106">
            <v>4790</v>
          </cell>
          <cell r="L106">
            <v>11655</v>
          </cell>
          <cell r="P106">
            <v>4000</v>
          </cell>
          <cell r="Q106">
            <v>3309</v>
          </cell>
          <cell r="S106">
            <v>2148</v>
          </cell>
          <cell r="T106">
            <v>1476</v>
          </cell>
          <cell r="W106">
            <v>5648</v>
          </cell>
          <cell r="Z106">
            <v>3259</v>
          </cell>
          <cell r="AB106">
            <v>2037</v>
          </cell>
          <cell r="AE106">
            <v>2444</v>
          </cell>
          <cell r="AH106">
            <v>8160</v>
          </cell>
          <cell r="AQ106">
            <v>5075</v>
          </cell>
          <cell r="DN106">
            <v>130823</v>
          </cell>
          <cell r="DO106">
            <v>106</v>
          </cell>
        </row>
        <row r="107">
          <cell r="A107" t="str">
            <v>Dover, DE Metro Area</v>
          </cell>
          <cell r="B107">
            <v>8033</v>
          </cell>
          <cell r="C107">
            <v>14423</v>
          </cell>
          <cell r="D107">
            <v>14752</v>
          </cell>
          <cell r="E107">
            <v>23548</v>
          </cell>
          <cell r="G107">
            <v>6083</v>
          </cell>
          <cell r="H107">
            <v>3213</v>
          </cell>
          <cell r="I107">
            <v>5985</v>
          </cell>
          <cell r="J107">
            <v>8918</v>
          </cell>
          <cell r="K107">
            <v>7927</v>
          </cell>
          <cell r="L107">
            <v>11790</v>
          </cell>
          <cell r="M107">
            <v>5493</v>
          </cell>
          <cell r="P107">
            <v>3266</v>
          </cell>
          <cell r="R107">
            <v>7967</v>
          </cell>
          <cell r="S107">
            <v>2929</v>
          </cell>
          <cell r="V107">
            <v>2430</v>
          </cell>
          <cell r="DN107">
            <v>126757</v>
          </cell>
          <cell r="DO107">
            <v>107</v>
          </cell>
        </row>
        <row r="108">
          <cell r="A108" t="str">
            <v>Dubuque, IA Metro Area</v>
          </cell>
          <cell r="B108">
            <v>17508</v>
          </cell>
          <cell r="C108">
            <v>14701</v>
          </cell>
          <cell r="D108">
            <v>20916</v>
          </cell>
          <cell r="E108">
            <v>6138</v>
          </cell>
          <cell r="F108">
            <v>5383</v>
          </cell>
          <cell r="G108">
            <v>3237</v>
          </cell>
          <cell r="J108">
            <v>3278</v>
          </cell>
          <cell r="K108">
            <v>3199</v>
          </cell>
          <cell r="Q108">
            <v>3536</v>
          </cell>
          <cell r="R108">
            <v>2968</v>
          </cell>
          <cell r="V108">
            <v>3915</v>
          </cell>
          <cell r="Y108">
            <v>4354</v>
          </cell>
          <cell r="DN108">
            <v>89133</v>
          </cell>
          <cell r="DO108">
            <v>108</v>
          </cell>
        </row>
        <row r="109">
          <cell r="A109" t="str">
            <v>Duluth, MN-WI Metro Area</v>
          </cell>
          <cell r="B109">
            <v>6733</v>
          </cell>
          <cell r="C109">
            <v>15783</v>
          </cell>
          <cell r="D109">
            <v>26044</v>
          </cell>
          <cell r="E109">
            <v>14309</v>
          </cell>
          <cell r="F109">
            <v>25225</v>
          </cell>
          <cell r="G109">
            <v>16505</v>
          </cell>
          <cell r="H109">
            <v>11074</v>
          </cell>
          <cell r="I109">
            <v>6978</v>
          </cell>
          <cell r="J109">
            <v>5636</v>
          </cell>
          <cell r="L109">
            <v>2949</v>
          </cell>
          <cell r="N109">
            <v>13303</v>
          </cell>
          <cell r="P109">
            <v>11249</v>
          </cell>
          <cell r="R109">
            <v>5005</v>
          </cell>
          <cell r="S109">
            <v>3519</v>
          </cell>
          <cell r="U109">
            <v>7041</v>
          </cell>
          <cell r="W109">
            <v>5761</v>
          </cell>
          <cell r="X109">
            <v>2755</v>
          </cell>
          <cell r="AF109">
            <v>3145</v>
          </cell>
          <cell r="AG109">
            <v>4849</v>
          </cell>
          <cell r="AK109">
            <v>9064</v>
          </cell>
          <cell r="AN109">
            <v>3101</v>
          </cell>
          <cell r="AR109">
            <v>2261</v>
          </cell>
          <cell r="AX109">
            <v>2787</v>
          </cell>
          <cell r="AZ109">
            <v>2082</v>
          </cell>
          <cell r="BA109">
            <v>9704</v>
          </cell>
          <cell r="BB109">
            <v>2593</v>
          </cell>
          <cell r="BD109">
            <v>6742</v>
          </cell>
          <cell r="BE109">
            <v>5530</v>
          </cell>
          <cell r="BF109">
            <v>2477</v>
          </cell>
          <cell r="BG109">
            <v>5172</v>
          </cell>
          <cell r="BH109">
            <v>7302</v>
          </cell>
          <cell r="BI109">
            <v>4661</v>
          </cell>
          <cell r="BK109">
            <v>4978</v>
          </cell>
          <cell r="BN109">
            <v>1678</v>
          </cell>
          <cell r="BP109">
            <v>3874</v>
          </cell>
          <cell r="BV109">
            <v>6314</v>
          </cell>
          <cell r="CB109">
            <v>3854</v>
          </cell>
          <cell r="CL109">
            <v>3530</v>
          </cell>
          <cell r="DN109">
            <v>275567</v>
          </cell>
          <cell r="DO109">
            <v>109</v>
          </cell>
        </row>
        <row r="110">
          <cell r="A110" t="str">
            <v>Durham-Chapel Hill, NC Metro Area</v>
          </cell>
          <cell r="B110">
            <v>12518</v>
          </cell>
          <cell r="C110">
            <v>35782</v>
          </cell>
          <cell r="D110">
            <v>38359</v>
          </cell>
          <cell r="E110">
            <v>21948</v>
          </cell>
          <cell r="F110">
            <v>49079</v>
          </cell>
          <cell r="G110">
            <v>22479</v>
          </cell>
          <cell r="H110">
            <v>18404</v>
          </cell>
          <cell r="I110">
            <v>16300</v>
          </cell>
          <cell r="J110">
            <v>20290</v>
          </cell>
          <cell r="K110">
            <v>18464</v>
          </cell>
          <cell r="L110">
            <v>16732</v>
          </cell>
          <cell r="M110">
            <v>17945</v>
          </cell>
          <cell r="N110">
            <v>20914</v>
          </cell>
          <cell r="O110">
            <v>9561</v>
          </cell>
          <cell r="P110">
            <v>9003</v>
          </cell>
          <cell r="Q110">
            <v>2557</v>
          </cell>
          <cell r="S110">
            <v>7480</v>
          </cell>
          <cell r="T110">
            <v>9216</v>
          </cell>
          <cell r="U110">
            <v>8027</v>
          </cell>
          <cell r="V110">
            <v>5712</v>
          </cell>
          <cell r="X110">
            <v>3374</v>
          </cell>
          <cell r="Y110">
            <v>6812</v>
          </cell>
          <cell r="AA110">
            <v>4639</v>
          </cell>
          <cell r="AC110">
            <v>2900</v>
          </cell>
          <cell r="AE110">
            <v>18526</v>
          </cell>
          <cell r="AH110">
            <v>6685</v>
          </cell>
          <cell r="AJ110">
            <v>4708</v>
          </cell>
          <cell r="AL110">
            <v>9140</v>
          </cell>
          <cell r="AN110">
            <v>2702</v>
          </cell>
          <cell r="AR110">
            <v>3590</v>
          </cell>
          <cell r="DN110">
            <v>423846</v>
          </cell>
          <cell r="DO110">
            <v>110</v>
          </cell>
        </row>
        <row r="111">
          <cell r="A111" t="str">
            <v>Eau Claire, WI Metro Area</v>
          </cell>
          <cell r="B111">
            <v>18047</v>
          </cell>
          <cell r="C111">
            <v>21082</v>
          </cell>
          <cell r="D111">
            <v>17112</v>
          </cell>
          <cell r="E111">
            <v>14035</v>
          </cell>
          <cell r="F111">
            <v>11426</v>
          </cell>
          <cell r="I111">
            <v>10884</v>
          </cell>
          <cell r="J111">
            <v>4144</v>
          </cell>
          <cell r="K111">
            <v>5286</v>
          </cell>
          <cell r="L111">
            <v>4550</v>
          </cell>
          <cell r="M111">
            <v>6013</v>
          </cell>
          <cell r="O111">
            <v>4562</v>
          </cell>
          <cell r="T111">
            <v>5997</v>
          </cell>
          <cell r="W111">
            <v>5179</v>
          </cell>
          <cell r="X111">
            <v>11740</v>
          </cell>
          <cell r="AC111">
            <v>3831</v>
          </cell>
          <cell r="AF111">
            <v>4457</v>
          </cell>
          <cell r="DN111">
            <v>148345</v>
          </cell>
          <cell r="DO111">
            <v>111</v>
          </cell>
        </row>
        <row r="112">
          <cell r="A112" t="str">
            <v>El Centro, CA Metro Area</v>
          </cell>
          <cell r="B112">
            <v>23267</v>
          </cell>
          <cell r="C112">
            <v>16196</v>
          </cell>
          <cell r="D112">
            <v>1228</v>
          </cell>
          <cell r="E112">
            <v>14490</v>
          </cell>
          <cell r="H112">
            <v>3649</v>
          </cell>
          <cell r="J112">
            <v>11618</v>
          </cell>
          <cell r="K112">
            <v>16398</v>
          </cell>
          <cell r="L112">
            <v>1438</v>
          </cell>
          <cell r="M112">
            <v>6429</v>
          </cell>
          <cell r="N112">
            <v>10546</v>
          </cell>
          <cell r="O112">
            <v>12596</v>
          </cell>
          <cell r="Q112">
            <v>5204</v>
          </cell>
          <cell r="S112">
            <v>2531</v>
          </cell>
          <cell r="AA112">
            <v>4697</v>
          </cell>
          <cell r="AB112">
            <v>5040</v>
          </cell>
          <cell r="AM112">
            <v>1480</v>
          </cell>
          <cell r="AU112">
            <v>2136</v>
          </cell>
          <cell r="BE112">
            <v>3391</v>
          </cell>
          <cell r="DN112">
            <v>142334</v>
          </cell>
          <cell r="DO112">
            <v>112</v>
          </cell>
        </row>
        <row r="113">
          <cell r="A113" t="str">
            <v>Elizabethtown, KY Metro Area</v>
          </cell>
          <cell r="B113">
            <v>5881</v>
          </cell>
          <cell r="C113">
            <v>10313</v>
          </cell>
          <cell r="D113">
            <v>4640</v>
          </cell>
          <cell r="E113">
            <v>6970</v>
          </cell>
          <cell r="F113">
            <v>5227</v>
          </cell>
          <cell r="I113">
            <v>11280</v>
          </cell>
          <cell r="J113">
            <v>11236</v>
          </cell>
          <cell r="K113">
            <v>4923</v>
          </cell>
          <cell r="L113">
            <v>18375</v>
          </cell>
          <cell r="M113">
            <v>10765</v>
          </cell>
          <cell r="P113">
            <v>5413</v>
          </cell>
          <cell r="Q113">
            <v>7516</v>
          </cell>
          <cell r="R113">
            <v>21</v>
          </cell>
          <cell r="S113">
            <v>2295</v>
          </cell>
          <cell r="W113">
            <v>1127</v>
          </cell>
          <cell r="DN113">
            <v>105982</v>
          </cell>
          <cell r="DO113">
            <v>113</v>
          </cell>
        </row>
        <row r="114">
          <cell r="A114" t="str">
            <v>Elkhart-Goshen, IN Metro Area</v>
          </cell>
          <cell r="B114">
            <v>12901</v>
          </cell>
          <cell r="C114">
            <v>24387</v>
          </cell>
          <cell r="D114">
            <v>17785</v>
          </cell>
          <cell r="E114">
            <v>29861</v>
          </cell>
          <cell r="F114">
            <v>7801</v>
          </cell>
          <cell r="G114">
            <v>6356</v>
          </cell>
          <cell r="I114">
            <v>13537</v>
          </cell>
          <cell r="J114">
            <v>11083</v>
          </cell>
          <cell r="K114">
            <v>11802</v>
          </cell>
          <cell r="L114">
            <v>3987</v>
          </cell>
          <cell r="M114">
            <v>10266</v>
          </cell>
          <cell r="N114">
            <v>7512</v>
          </cell>
          <cell r="O114">
            <v>2638</v>
          </cell>
          <cell r="Q114">
            <v>10830</v>
          </cell>
          <cell r="R114">
            <v>12042</v>
          </cell>
          <cell r="DN114">
            <v>182788</v>
          </cell>
          <cell r="DO114">
            <v>114</v>
          </cell>
        </row>
        <row r="115">
          <cell r="A115" t="str">
            <v>Elmira, NY Metro Area</v>
          </cell>
          <cell r="B115">
            <v>14098</v>
          </cell>
          <cell r="C115">
            <v>22419</v>
          </cell>
          <cell r="D115">
            <v>7104</v>
          </cell>
          <cell r="E115">
            <v>6940</v>
          </cell>
          <cell r="F115">
            <v>8768</v>
          </cell>
          <cell r="G115">
            <v>3524</v>
          </cell>
          <cell r="H115">
            <v>14546</v>
          </cell>
          <cell r="I115">
            <v>4215</v>
          </cell>
          <cell r="L115">
            <v>5937</v>
          </cell>
          <cell r="M115">
            <v>3563</v>
          </cell>
          <cell r="DN115">
            <v>91114</v>
          </cell>
          <cell r="DO115">
            <v>115</v>
          </cell>
        </row>
        <row r="116">
          <cell r="A116" t="str">
            <v>El Paso, TX Metro Area</v>
          </cell>
          <cell r="B116">
            <v>20568</v>
          </cell>
          <cell r="C116">
            <v>15652</v>
          </cell>
          <cell r="D116">
            <v>17564</v>
          </cell>
          <cell r="E116">
            <v>33989</v>
          </cell>
          <cell r="F116">
            <v>36827</v>
          </cell>
          <cell r="G116">
            <v>32471</v>
          </cell>
          <cell r="H116">
            <v>35373</v>
          </cell>
          <cell r="I116">
            <v>73431</v>
          </cell>
          <cell r="J116">
            <v>47159</v>
          </cell>
          <cell r="K116">
            <v>73475</v>
          </cell>
          <cell r="L116">
            <v>64398</v>
          </cell>
          <cell r="M116">
            <v>55185</v>
          </cell>
          <cell r="N116">
            <v>57807</v>
          </cell>
          <cell r="O116">
            <v>22160</v>
          </cell>
          <cell r="P116">
            <v>10735</v>
          </cell>
          <cell r="Q116">
            <v>18767</v>
          </cell>
          <cell r="R116">
            <v>9084</v>
          </cell>
          <cell r="S116">
            <v>23461</v>
          </cell>
          <cell r="T116">
            <v>4920</v>
          </cell>
          <cell r="U116">
            <v>5547</v>
          </cell>
          <cell r="V116">
            <v>1981</v>
          </cell>
          <cell r="W116">
            <v>3890</v>
          </cell>
          <cell r="X116">
            <v>2516</v>
          </cell>
          <cell r="AA116">
            <v>3107</v>
          </cell>
          <cell r="AB116">
            <v>4196</v>
          </cell>
          <cell r="AE116">
            <v>3430</v>
          </cell>
          <cell r="AH116">
            <v>1867</v>
          </cell>
          <cell r="DN116">
            <v>679560</v>
          </cell>
          <cell r="DO116">
            <v>116</v>
          </cell>
        </row>
        <row r="117">
          <cell r="A117" t="str">
            <v>Erie, PA Metro Area</v>
          </cell>
          <cell r="B117">
            <v>23765</v>
          </cell>
          <cell r="C117">
            <v>34102</v>
          </cell>
          <cell r="D117">
            <v>34776</v>
          </cell>
          <cell r="E117">
            <v>43222</v>
          </cell>
          <cell r="F117">
            <v>21536</v>
          </cell>
          <cell r="G117">
            <v>9031</v>
          </cell>
          <cell r="H117">
            <v>13267</v>
          </cell>
          <cell r="I117">
            <v>10385</v>
          </cell>
          <cell r="K117">
            <v>9887</v>
          </cell>
          <cell r="L117">
            <v>5276</v>
          </cell>
          <cell r="O117">
            <v>5541</v>
          </cell>
          <cell r="P117">
            <v>17764</v>
          </cell>
          <cell r="Q117">
            <v>11579</v>
          </cell>
          <cell r="R117">
            <v>6135</v>
          </cell>
          <cell r="S117">
            <v>6957</v>
          </cell>
          <cell r="U117">
            <v>5096</v>
          </cell>
          <cell r="V117">
            <v>3467</v>
          </cell>
          <cell r="W117">
            <v>4989</v>
          </cell>
          <cell r="X117">
            <v>1898</v>
          </cell>
          <cell r="Y117">
            <v>2024</v>
          </cell>
          <cell r="Z117">
            <v>3352</v>
          </cell>
          <cell r="AB117">
            <v>6864</v>
          </cell>
          <cell r="DN117">
            <v>280913</v>
          </cell>
          <cell r="DO117">
            <v>117</v>
          </cell>
        </row>
        <row r="118">
          <cell r="A118" t="str">
            <v>Eugene-Springfield, OR Metro Area</v>
          </cell>
          <cell r="B118">
            <v>12843</v>
          </cell>
          <cell r="C118">
            <v>39834</v>
          </cell>
          <cell r="D118">
            <v>52975</v>
          </cell>
          <cell r="E118">
            <v>46096</v>
          </cell>
          <cell r="F118">
            <v>22913</v>
          </cell>
          <cell r="G118">
            <v>31312</v>
          </cell>
          <cell r="H118">
            <v>6288</v>
          </cell>
          <cell r="I118">
            <v>7303</v>
          </cell>
          <cell r="J118">
            <v>14091</v>
          </cell>
          <cell r="K118">
            <v>8677</v>
          </cell>
          <cell r="L118">
            <v>3767</v>
          </cell>
          <cell r="N118">
            <v>12507</v>
          </cell>
          <cell r="O118">
            <v>7096</v>
          </cell>
          <cell r="P118">
            <v>1678</v>
          </cell>
          <cell r="Q118">
            <v>11517</v>
          </cell>
          <cell r="R118">
            <v>4990</v>
          </cell>
          <cell r="T118">
            <v>11499</v>
          </cell>
          <cell r="Z118">
            <v>7568</v>
          </cell>
          <cell r="AH118">
            <v>2345</v>
          </cell>
          <cell r="AM118">
            <v>4410</v>
          </cell>
          <cell r="AX118">
            <v>2151</v>
          </cell>
          <cell r="AZ118">
            <v>5787</v>
          </cell>
          <cell r="BA118">
            <v>5363</v>
          </cell>
          <cell r="DN118">
            <v>323010</v>
          </cell>
          <cell r="DO118">
            <v>118</v>
          </cell>
        </row>
        <row r="119">
          <cell r="A119" t="str">
            <v>Evansville, IN-KY Metro Area</v>
          </cell>
          <cell r="B119">
            <v>15669</v>
          </cell>
          <cell r="C119">
            <v>23521</v>
          </cell>
          <cell r="D119">
            <v>37751</v>
          </cell>
          <cell r="E119">
            <v>24504</v>
          </cell>
          <cell r="F119">
            <v>22312</v>
          </cell>
          <cell r="G119">
            <v>27377</v>
          </cell>
          <cell r="H119">
            <v>13617</v>
          </cell>
          <cell r="I119">
            <v>16550</v>
          </cell>
          <cell r="J119">
            <v>7847</v>
          </cell>
          <cell r="K119">
            <v>23539</v>
          </cell>
          <cell r="L119">
            <v>23571</v>
          </cell>
          <cell r="M119">
            <v>6654</v>
          </cell>
          <cell r="N119">
            <v>2546</v>
          </cell>
          <cell r="Q119">
            <v>13273</v>
          </cell>
          <cell r="R119">
            <v>13133</v>
          </cell>
          <cell r="S119">
            <v>14991</v>
          </cell>
          <cell r="T119">
            <v>7186</v>
          </cell>
          <cell r="U119">
            <v>3717</v>
          </cell>
          <cell r="V119">
            <v>2505</v>
          </cell>
          <cell r="X119">
            <v>3662</v>
          </cell>
          <cell r="AA119">
            <v>13691</v>
          </cell>
          <cell r="AB119">
            <v>7791</v>
          </cell>
          <cell r="AC119">
            <v>4559</v>
          </cell>
          <cell r="AF119">
            <v>3305</v>
          </cell>
          <cell r="AG119">
            <v>2620</v>
          </cell>
          <cell r="AM119">
            <v>2488</v>
          </cell>
          <cell r="AP119">
            <v>4446</v>
          </cell>
          <cell r="DN119">
            <v>342825</v>
          </cell>
          <cell r="DO119">
            <v>119</v>
          </cell>
        </row>
        <row r="120">
          <cell r="A120" t="str">
            <v>Fairbanks, AK Metro Area</v>
          </cell>
          <cell r="B120">
            <v>9386</v>
          </cell>
          <cell r="C120">
            <v>14785</v>
          </cell>
          <cell r="D120">
            <v>9317</v>
          </cell>
          <cell r="E120">
            <v>9879</v>
          </cell>
          <cell r="G120">
            <v>13152</v>
          </cell>
          <cell r="I120">
            <v>8901</v>
          </cell>
          <cell r="N120">
            <v>3756</v>
          </cell>
          <cell r="O120">
            <v>7148</v>
          </cell>
          <cell r="W120">
            <v>5407</v>
          </cell>
          <cell r="AG120">
            <v>1118</v>
          </cell>
          <cell r="DN120">
            <v>82849</v>
          </cell>
          <cell r="DO120">
            <v>120</v>
          </cell>
        </row>
        <row r="121">
          <cell r="A121" t="str">
            <v>Fargo, ND-MN Metro Area</v>
          </cell>
          <cell r="B121">
            <v>11727</v>
          </cell>
          <cell r="C121">
            <v>36032</v>
          </cell>
          <cell r="D121">
            <v>42878</v>
          </cell>
          <cell r="E121">
            <v>24928</v>
          </cell>
          <cell r="F121">
            <v>14205</v>
          </cell>
          <cell r="G121">
            <v>11251</v>
          </cell>
          <cell r="H121">
            <v>9370</v>
          </cell>
          <cell r="J121">
            <v>2909</v>
          </cell>
          <cell r="L121">
            <v>1873</v>
          </cell>
          <cell r="S121">
            <v>2758</v>
          </cell>
          <cell r="V121">
            <v>2799</v>
          </cell>
          <cell r="W121">
            <v>5334</v>
          </cell>
          <cell r="X121">
            <v>2237</v>
          </cell>
          <cell r="Y121">
            <v>4017</v>
          </cell>
          <cell r="AL121">
            <v>2080</v>
          </cell>
          <cell r="DN121">
            <v>174398</v>
          </cell>
          <cell r="DO121">
            <v>121</v>
          </cell>
        </row>
        <row r="122">
          <cell r="A122" t="str">
            <v>Farmington, NM Metro Area</v>
          </cell>
          <cell r="B122">
            <v>8053</v>
          </cell>
          <cell r="C122">
            <v>7981</v>
          </cell>
          <cell r="D122">
            <v>13542</v>
          </cell>
          <cell r="E122">
            <v>3744</v>
          </cell>
          <cell r="F122">
            <v>3605</v>
          </cell>
          <cell r="G122">
            <v>3098</v>
          </cell>
          <cell r="H122">
            <v>6171</v>
          </cell>
          <cell r="I122">
            <v>4782</v>
          </cell>
          <cell r="J122">
            <v>5671</v>
          </cell>
          <cell r="K122">
            <v>5103</v>
          </cell>
          <cell r="L122">
            <v>4797</v>
          </cell>
          <cell r="N122">
            <v>5879</v>
          </cell>
          <cell r="O122">
            <v>6273</v>
          </cell>
          <cell r="P122">
            <v>4165</v>
          </cell>
          <cell r="U122">
            <v>2622</v>
          </cell>
          <cell r="V122">
            <v>3571</v>
          </cell>
          <cell r="X122">
            <v>5944</v>
          </cell>
          <cell r="AB122">
            <v>7953</v>
          </cell>
          <cell r="AE122">
            <v>3560</v>
          </cell>
          <cell r="AR122">
            <v>5024</v>
          </cell>
          <cell r="BE122">
            <v>2274</v>
          </cell>
          <cell r="DN122">
            <v>113812</v>
          </cell>
          <cell r="DO122">
            <v>122</v>
          </cell>
        </row>
        <row r="123">
          <cell r="A123" t="str">
            <v>Fayetteville, NC Metro Area</v>
          </cell>
          <cell r="B123">
            <v>8267</v>
          </cell>
          <cell r="C123">
            <v>2381</v>
          </cell>
          <cell r="D123">
            <v>31266</v>
          </cell>
          <cell r="E123">
            <v>12266</v>
          </cell>
          <cell r="F123">
            <v>49811</v>
          </cell>
          <cell r="G123">
            <v>30467</v>
          </cell>
          <cell r="H123">
            <v>32412</v>
          </cell>
          <cell r="I123">
            <v>28823</v>
          </cell>
          <cell r="J123">
            <v>29762</v>
          </cell>
          <cell r="K123">
            <v>47146</v>
          </cell>
          <cell r="L123">
            <v>13649</v>
          </cell>
          <cell r="M123">
            <v>11978</v>
          </cell>
          <cell r="N123">
            <v>4850</v>
          </cell>
          <cell r="O123">
            <v>4748</v>
          </cell>
          <cell r="P123">
            <v>9951</v>
          </cell>
          <cell r="S123">
            <v>3430</v>
          </cell>
          <cell r="U123">
            <v>4974</v>
          </cell>
          <cell r="V123">
            <v>0</v>
          </cell>
          <cell r="X123">
            <v>2712</v>
          </cell>
          <cell r="Z123">
            <v>3258</v>
          </cell>
          <cell r="AB123">
            <v>4533</v>
          </cell>
          <cell r="DN123">
            <v>336684</v>
          </cell>
          <cell r="DO123">
            <v>123</v>
          </cell>
        </row>
        <row r="124">
          <cell r="A124" t="str">
            <v>Fayetteville-Springdale-Rogers, AR-MO Metro Area</v>
          </cell>
          <cell r="B124">
            <v>6637</v>
          </cell>
          <cell r="C124">
            <v>21460</v>
          </cell>
          <cell r="D124">
            <v>11340</v>
          </cell>
          <cell r="E124">
            <v>3392</v>
          </cell>
          <cell r="F124">
            <v>11352</v>
          </cell>
          <cell r="G124">
            <v>15754</v>
          </cell>
          <cell r="H124">
            <v>24031</v>
          </cell>
          <cell r="I124">
            <v>12884</v>
          </cell>
          <cell r="J124">
            <v>10130</v>
          </cell>
          <cell r="K124">
            <v>20196</v>
          </cell>
          <cell r="M124">
            <v>10423</v>
          </cell>
          <cell r="N124">
            <v>4312</v>
          </cell>
          <cell r="O124">
            <v>11982</v>
          </cell>
          <cell r="Q124">
            <v>4486</v>
          </cell>
          <cell r="R124">
            <v>8119</v>
          </cell>
          <cell r="S124">
            <v>7958</v>
          </cell>
          <cell r="T124">
            <v>18589</v>
          </cell>
          <cell r="U124">
            <v>19801</v>
          </cell>
          <cell r="V124">
            <v>19308</v>
          </cell>
          <cell r="W124">
            <v>7977</v>
          </cell>
          <cell r="X124">
            <v>12049</v>
          </cell>
          <cell r="Y124">
            <v>22944</v>
          </cell>
          <cell r="Z124">
            <v>3120</v>
          </cell>
          <cell r="AA124">
            <v>4521</v>
          </cell>
          <cell r="AB124">
            <v>6153</v>
          </cell>
          <cell r="AC124">
            <v>5747</v>
          </cell>
          <cell r="AD124">
            <v>4352</v>
          </cell>
          <cell r="AE124">
            <v>5659</v>
          </cell>
          <cell r="AF124">
            <v>7416</v>
          </cell>
          <cell r="AG124">
            <v>3262</v>
          </cell>
          <cell r="AM124">
            <v>5456</v>
          </cell>
          <cell r="AN124">
            <v>5575</v>
          </cell>
          <cell r="AR124">
            <v>6363</v>
          </cell>
          <cell r="AX124">
            <v>4290</v>
          </cell>
          <cell r="DN124">
            <v>347038</v>
          </cell>
          <cell r="DO124">
            <v>124</v>
          </cell>
        </row>
        <row r="125">
          <cell r="A125" t="str">
            <v>Flagstaff, AZ Metro Area</v>
          </cell>
          <cell r="B125">
            <v>5555</v>
          </cell>
          <cell r="C125">
            <v>16617</v>
          </cell>
          <cell r="D125">
            <v>19468</v>
          </cell>
          <cell r="E125">
            <v>3312</v>
          </cell>
          <cell r="F125">
            <v>9045</v>
          </cell>
          <cell r="I125">
            <v>5295</v>
          </cell>
          <cell r="J125">
            <v>4168</v>
          </cell>
          <cell r="M125">
            <v>4790</v>
          </cell>
          <cell r="Z125">
            <v>6836</v>
          </cell>
          <cell r="AF125">
            <v>3084</v>
          </cell>
          <cell r="AP125">
            <v>3514</v>
          </cell>
          <cell r="AT125">
            <v>5260</v>
          </cell>
          <cell r="BR125">
            <v>8075</v>
          </cell>
          <cell r="BS125">
            <v>4397</v>
          </cell>
          <cell r="CU125">
            <v>4308</v>
          </cell>
          <cell r="CV125">
            <v>3927</v>
          </cell>
          <cell r="CX125">
            <v>6795</v>
          </cell>
          <cell r="CZ125">
            <v>1875</v>
          </cell>
          <cell r="DN125">
            <v>116321</v>
          </cell>
          <cell r="DO125">
            <v>125</v>
          </cell>
        </row>
        <row r="126">
          <cell r="A126" t="str">
            <v>Flint, MI Metro Area</v>
          </cell>
          <cell r="B126">
            <v>6570</v>
          </cell>
          <cell r="C126">
            <v>30189</v>
          </cell>
          <cell r="D126">
            <v>68786</v>
          </cell>
          <cell r="E126">
            <v>44016</v>
          </cell>
          <cell r="F126">
            <v>32314</v>
          </cell>
          <cell r="G126">
            <v>49996</v>
          </cell>
          <cell r="H126">
            <v>17225</v>
          </cell>
          <cell r="I126">
            <v>43191</v>
          </cell>
          <cell r="J126">
            <v>33153</v>
          </cell>
          <cell r="K126">
            <v>20435</v>
          </cell>
          <cell r="L126">
            <v>16811</v>
          </cell>
          <cell r="M126">
            <v>19014</v>
          </cell>
          <cell r="N126">
            <v>10881</v>
          </cell>
          <cell r="O126">
            <v>12895</v>
          </cell>
          <cell r="P126">
            <v>11294</v>
          </cell>
          <cell r="Q126">
            <v>12905</v>
          </cell>
          <cell r="R126">
            <v>6538</v>
          </cell>
          <cell r="DN126">
            <v>436213</v>
          </cell>
          <cell r="DO126">
            <v>126</v>
          </cell>
        </row>
        <row r="127">
          <cell r="A127" t="str">
            <v>Florence, SC Metro Area</v>
          </cell>
          <cell r="B127">
            <v>9967</v>
          </cell>
          <cell r="C127">
            <v>11281</v>
          </cell>
          <cell r="D127">
            <v>9903</v>
          </cell>
          <cell r="E127">
            <v>9579</v>
          </cell>
          <cell r="F127">
            <v>12875</v>
          </cell>
          <cell r="G127">
            <v>15557</v>
          </cell>
          <cell r="H127">
            <v>7316</v>
          </cell>
          <cell r="I127">
            <v>12678</v>
          </cell>
          <cell r="K127">
            <v>10254</v>
          </cell>
          <cell r="L127">
            <v>15978</v>
          </cell>
          <cell r="N127">
            <v>2418</v>
          </cell>
          <cell r="O127">
            <v>7385</v>
          </cell>
          <cell r="Q127">
            <v>3444</v>
          </cell>
          <cell r="R127">
            <v>3590</v>
          </cell>
          <cell r="T127">
            <v>6734</v>
          </cell>
          <cell r="U127">
            <v>4046</v>
          </cell>
          <cell r="V127">
            <v>11693</v>
          </cell>
          <cell r="W127">
            <v>6520</v>
          </cell>
          <cell r="X127">
            <v>11177</v>
          </cell>
          <cell r="Y127">
            <v>3358</v>
          </cell>
          <cell r="Z127">
            <v>10994</v>
          </cell>
          <cell r="AF127">
            <v>6413</v>
          </cell>
          <cell r="DN127">
            <v>193160</v>
          </cell>
          <cell r="DO127">
            <v>127</v>
          </cell>
        </row>
        <row r="128">
          <cell r="A128" t="str">
            <v>Florence-Muscle Shoals, AL Metro Area</v>
          </cell>
          <cell r="B128">
            <v>7946</v>
          </cell>
          <cell r="C128">
            <v>4740</v>
          </cell>
          <cell r="D128">
            <v>20759</v>
          </cell>
          <cell r="E128">
            <v>10739</v>
          </cell>
          <cell r="F128">
            <v>20793</v>
          </cell>
          <cell r="G128">
            <v>10518</v>
          </cell>
          <cell r="I128">
            <v>4087</v>
          </cell>
          <cell r="J128">
            <v>5541</v>
          </cell>
          <cell r="K128">
            <v>4500</v>
          </cell>
          <cell r="L128">
            <v>14902</v>
          </cell>
          <cell r="M128">
            <v>5663</v>
          </cell>
          <cell r="N128">
            <v>8490</v>
          </cell>
          <cell r="P128">
            <v>4791</v>
          </cell>
          <cell r="S128">
            <v>4677</v>
          </cell>
          <cell r="T128">
            <v>6698</v>
          </cell>
          <cell r="W128">
            <v>3322</v>
          </cell>
          <cell r="Y128">
            <v>4763</v>
          </cell>
          <cell r="DN128">
            <v>142929</v>
          </cell>
          <cell r="DO128">
            <v>128</v>
          </cell>
        </row>
        <row r="129">
          <cell r="A129" t="str">
            <v>Fond du Lac, WI Metro Area</v>
          </cell>
          <cell r="B129">
            <v>18457</v>
          </cell>
          <cell r="C129">
            <v>24514</v>
          </cell>
          <cell r="E129">
            <v>5842</v>
          </cell>
          <cell r="F129">
            <v>7622</v>
          </cell>
          <cell r="I129">
            <v>12476</v>
          </cell>
          <cell r="M129">
            <v>5141</v>
          </cell>
          <cell r="Q129">
            <v>5755</v>
          </cell>
          <cell r="R129">
            <v>8623</v>
          </cell>
          <cell r="U129">
            <v>2985</v>
          </cell>
          <cell r="V129">
            <v>5869</v>
          </cell>
          <cell r="DN129">
            <v>97284</v>
          </cell>
          <cell r="DO129">
            <v>129</v>
          </cell>
        </row>
        <row r="130">
          <cell r="A130" t="str">
            <v>Fort Collins-Loveland, CO Metro Area</v>
          </cell>
          <cell r="B130">
            <v>7984</v>
          </cell>
          <cell r="C130">
            <v>32755</v>
          </cell>
          <cell r="D130">
            <v>24742</v>
          </cell>
          <cell r="E130">
            <v>33068</v>
          </cell>
          <cell r="F130">
            <v>28425</v>
          </cell>
          <cell r="G130">
            <v>13436</v>
          </cell>
          <cell r="H130">
            <v>5665</v>
          </cell>
          <cell r="I130">
            <v>1173</v>
          </cell>
          <cell r="J130">
            <v>9010</v>
          </cell>
          <cell r="L130">
            <v>15101</v>
          </cell>
          <cell r="M130">
            <v>9545</v>
          </cell>
          <cell r="N130">
            <v>14393</v>
          </cell>
          <cell r="O130">
            <v>13843</v>
          </cell>
          <cell r="P130">
            <v>9084</v>
          </cell>
          <cell r="Q130">
            <v>5888</v>
          </cell>
          <cell r="R130">
            <v>2796</v>
          </cell>
          <cell r="U130">
            <v>11050</v>
          </cell>
          <cell r="V130">
            <v>3577</v>
          </cell>
          <cell r="AB130">
            <v>2854</v>
          </cell>
          <cell r="AD130">
            <v>7006</v>
          </cell>
          <cell r="AE130">
            <v>96</v>
          </cell>
          <cell r="DN130">
            <v>251491</v>
          </cell>
          <cell r="DO130">
            <v>130</v>
          </cell>
        </row>
        <row r="131">
          <cell r="A131" t="str">
            <v>Fort Smith, AR-OK Metro Area</v>
          </cell>
          <cell r="B131">
            <v>2524</v>
          </cell>
          <cell r="C131">
            <v>17996</v>
          </cell>
          <cell r="D131">
            <v>21091</v>
          </cell>
          <cell r="E131">
            <v>17303</v>
          </cell>
          <cell r="F131">
            <v>5427</v>
          </cell>
          <cell r="G131">
            <v>11482</v>
          </cell>
          <cell r="H131">
            <v>35953</v>
          </cell>
          <cell r="J131">
            <v>3973</v>
          </cell>
          <cell r="K131">
            <v>12039</v>
          </cell>
          <cell r="L131">
            <v>9399</v>
          </cell>
          <cell r="M131">
            <v>5426</v>
          </cell>
          <cell r="O131">
            <v>16609</v>
          </cell>
          <cell r="P131">
            <v>5257</v>
          </cell>
          <cell r="Q131">
            <v>8749</v>
          </cell>
          <cell r="R131">
            <v>3967</v>
          </cell>
          <cell r="S131">
            <v>3552</v>
          </cell>
          <cell r="U131">
            <v>8775</v>
          </cell>
          <cell r="V131">
            <v>6521</v>
          </cell>
          <cell r="W131">
            <v>15924</v>
          </cell>
          <cell r="X131">
            <v>10597</v>
          </cell>
          <cell r="Z131">
            <v>4486</v>
          </cell>
          <cell r="AA131">
            <v>3996</v>
          </cell>
          <cell r="AB131">
            <v>7007</v>
          </cell>
          <cell r="AH131">
            <v>3505</v>
          </cell>
          <cell r="AI131">
            <v>5321</v>
          </cell>
          <cell r="AK131">
            <v>7254</v>
          </cell>
          <cell r="AL131">
            <v>10999</v>
          </cell>
          <cell r="AM131">
            <v>4797</v>
          </cell>
          <cell r="BE131">
            <v>3243</v>
          </cell>
          <cell r="DN131">
            <v>273172</v>
          </cell>
          <cell r="DO131">
            <v>131</v>
          </cell>
        </row>
        <row r="132">
          <cell r="A132" t="str">
            <v>Fort Wayne, IN Metro Area</v>
          </cell>
          <cell r="B132">
            <v>9607</v>
          </cell>
          <cell r="C132">
            <v>46815</v>
          </cell>
          <cell r="D132">
            <v>36866</v>
          </cell>
          <cell r="E132">
            <v>35225</v>
          </cell>
          <cell r="F132">
            <v>53135</v>
          </cell>
          <cell r="G132">
            <v>39480</v>
          </cell>
          <cell r="H132">
            <v>34576</v>
          </cell>
          <cell r="I132">
            <v>26462</v>
          </cell>
          <cell r="J132">
            <v>6579</v>
          </cell>
          <cell r="K132">
            <v>13056</v>
          </cell>
          <cell r="L132">
            <v>8595</v>
          </cell>
          <cell r="M132">
            <v>2433</v>
          </cell>
          <cell r="N132">
            <v>12940</v>
          </cell>
          <cell r="P132">
            <v>7456</v>
          </cell>
          <cell r="Q132">
            <v>12158</v>
          </cell>
          <cell r="R132">
            <v>1965</v>
          </cell>
          <cell r="S132">
            <v>3789</v>
          </cell>
          <cell r="T132">
            <v>10294</v>
          </cell>
          <cell r="X132">
            <v>8526</v>
          </cell>
          <cell r="Y132">
            <v>7924</v>
          </cell>
          <cell r="Z132">
            <v>2862</v>
          </cell>
          <cell r="AA132">
            <v>5326</v>
          </cell>
          <cell r="AG132">
            <v>4025</v>
          </cell>
          <cell r="DN132">
            <v>390094</v>
          </cell>
          <cell r="DO132">
            <v>132</v>
          </cell>
        </row>
        <row r="133">
          <cell r="A133" t="str">
            <v>Fresno, CA Metro Area</v>
          </cell>
          <cell r="B133">
            <v>16896</v>
          </cell>
          <cell r="C133">
            <v>59825</v>
          </cell>
          <cell r="D133">
            <v>64883</v>
          </cell>
          <cell r="E133">
            <v>85716</v>
          </cell>
          <cell r="F133">
            <v>54023</v>
          </cell>
          <cell r="G133">
            <v>79045</v>
          </cell>
          <cell r="H133">
            <v>71669</v>
          </cell>
          <cell r="I133">
            <v>52241</v>
          </cell>
          <cell r="J133">
            <v>52119</v>
          </cell>
          <cell r="K133">
            <v>25331</v>
          </cell>
          <cell r="L133">
            <v>14240</v>
          </cell>
          <cell r="M133">
            <v>10989</v>
          </cell>
          <cell r="N133">
            <v>17500</v>
          </cell>
          <cell r="O133">
            <v>14384</v>
          </cell>
          <cell r="P133">
            <v>18700</v>
          </cell>
          <cell r="Q133">
            <v>24665</v>
          </cell>
          <cell r="R133">
            <v>10813</v>
          </cell>
          <cell r="S133">
            <v>3238</v>
          </cell>
          <cell r="U133">
            <v>10626</v>
          </cell>
          <cell r="V133">
            <v>7299</v>
          </cell>
          <cell r="W133">
            <v>25870</v>
          </cell>
          <cell r="Y133">
            <v>4466</v>
          </cell>
          <cell r="Z133">
            <v>4317</v>
          </cell>
          <cell r="AA133">
            <v>7457</v>
          </cell>
          <cell r="AB133">
            <v>5080</v>
          </cell>
          <cell r="AC133">
            <v>3687</v>
          </cell>
          <cell r="AH133">
            <v>3163</v>
          </cell>
          <cell r="AI133">
            <v>9313</v>
          </cell>
          <cell r="AJ133">
            <v>6088</v>
          </cell>
          <cell r="AN133">
            <v>7151</v>
          </cell>
          <cell r="AO133">
            <v>6653</v>
          </cell>
          <cell r="AQ133">
            <v>1943</v>
          </cell>
          <cell r="AW133">
            <v>1605</v>
          </cell>
          <cell r="AX133">
            <v>2794</v>
          </cell>
          <cell r="AY133">
            <v>4531</v>
          </cell>
          <cell r="BB133">
            <v>10433</v>
          </cell>
          <cell r="DN133">
            <v>798753</v>
          </cell>
          <cell r="DO133">
            <v>133</v>
          </cell>
        </row>
        <row r="134">
          <cell r="A134" t="str">
            <v>Gadsden, AL Metro Area</v>
          </cell>
          <cell r="B134">
            <v>6138</v>
          </cell>
          <cell r="C134">
            <v>8927</v>
          </cell>
          <cell r="D134">
            <v>15879</v>
          </cell>
          <cell r="E134">
            <v>10054</v>
          </cell>
          <cell r="F134">
            <v>5485</v>
          </cell>
          <cell r="G134">
            <v>5116</v>
          </cell>
          <cell r="H134">
            <v>19538</v>
          </cell>
          <cell r="I134">
            <v>10037</v>
          </cell>
          <cell r="J134">
            <v>1534</v>
          </cell>
          <cell r="K134">
            <v>2879</v>
          </cell>
          <cell r="L134">
            <v>3961</v>
          </cell>
          <cell r="M134">
            <v>8798</v>
          </cell>
          <cell r="Q134">
            <v>5105</v>
          </cell>
          <cell r="DN134">
            <v>103451</v>
          </cell>
          <cell r="DO134">
            <v>134</v>
          </cell>
        </row>
        <row r="135">
          <cell r="A135" t="str">
            <v>Gainesville, FL Metro Area</v>
          </cell>
          <cell r="B135">
            <v>10200</v>
          </cell>
          <cell r="C135">
            <v>27488</v>
          </cell>
          <cell r="D135">
            <v>34473</v>
          </cell>
          <cell r="E135">
            <v>30766</v>
          </cell>
          <cell r="F135">
            <v>20014</v>
          </cell>
          <cell r="G135">
            <v>23180</v>
          </cell>
          <cell r="H135">
            <v>5512</v>
          </cell>
          <cell r="I135">
            <v>15313</v>
          </cell>
          <cell r="J135">
            <v>3307</v>
          </cell>
          <cell r="K135">
            <v>4985</v>
          </cell>
          <cell r="L135">
            <v>6058</v>
          </cell>
          <cell r="M135">
            <v>9173</v>
          </cell>
          <cell r="O135">
            <v>10710</v>
          </cell>
          <cell r="S135">
            <v>16787</v>
          </cell>
          <cell r="X135">
            <v>2806</v>
          </cell>
          <cell r="Z135">
            <v>1744</v>
          </cell>
          <cell r="AE135">
            <v>3247</v>
          </cell>
          <cell r="AI135">
            <v>4370</v>
          </cell>
          <cell r="AJ135">
            <v>2259</v>
          </cell>
          <cell r="DN135">
            <v>232392</v>
          </cell>
          <cell r="DO135">
            <v>135</v>
          </cell>
        </row>
        <row r="136">
          <cell r="A136" t="str">
            <v>Gainesville, GA Metro Area</v>
          </cell>
          <cell r="B136">
            <v>8763</v>
          </cell>
          <cell r="C136">
            <v>11476</v>
          </cell>
          <cell r="D136">
            <v>9052</v>
          </cell>
          <cell r="E136">
            <v>12108</v>
          </cell>
          <cell r="F136">
            <v>20074</v>
          </cell>
          <cell r="G136">
            <v>12737</v>
          </cell>
          <cell r="H136">
            <v>9164</v>
          </cell>
          <cell r="I136">
            <v>10557</v>
          </cell>
          <cell r="J136">
            <v>14088</v>
          </cell>
          <cell r="K136">
            <v>11138</v>
          </cell>
          <cell r="L136">
            <v>6856</v>
          </cell>
          <cell r="N136">
            <v>11163</v>
          </cell>
          <cell r="O136">
            <v>2455</v>
          </cell>
          <cell r="DN136">
            <v>139631</v>
          </cell>
          <cell r="DO136">
            <v>136</v>
          </cell>
        </row>
        <row r="137">
          <cell r="A137" t="str">
            <v>Glens Falls, NY Metro Area</v>
          </cell>
          <cell r="B137">
            <v>14377</v>
          </cell>
          <cell r="D137">
            <v>10613</v>
          </cell>
          <cell r="E137">
            <v>20194</v>
          </cell>
          <cell r="F137">
            <v>10070</v>
          </cell>
          <cell r="J137">
            <v>4820</v>
          </cell>
          <cell r="K137">
            <v>7247</v>
          </cell>
          <cell r="M137">
            <v>2278</v>
          </cell>
          <cell r="N137">
            <v>6407</v>
          </cell>
          <cell r="Q137">
            <v>9154</v>
          </cell>
          <cell r="R137">
            <v>1774</v>
          </cell>
          <cell r="S137">
            <v>4055</v>
          </cell>
          <cell r="T137">
            <v>2723</v>
          </cell>
          <cell r="U137">
            <v>8706</v>
          </cell>
          <cell r="V137">
            <v>1703</v>
          </cell>
          <cell r="W137">
            <v>4906</v>
          </cell>
          <cell r="Y137">
            <v>2156</v>
          </cell>
          <cell r="AA137">
            <v>3420</v>
          </cell>
          <cell r="AC137">
            <v>4921</v>
          </cell>
          <cell r="AD137">
            <v>2321</v>
          </cell>
          <cell r="AE137">
            <v>2445</v>
          </cell>
          <cell r="DN137">
            <v>124290</v>
          </cell>
          <cell r="DO137">
            <v>137</v>
          </cell>
        </row>
        <row r="138">
          <cell r="A138" t="str">
            <v>Goldsboro, NC Metro Area</v>
          </cell>
          <cell r="B138">
            <v>4820</v>
          </cell>
          <cell r="C138">
            <v>14292</v>
          </cell>
          <cell r="D138">
            <v>12698</v>
          </cell>
          <cell r="E138">
            <v>3355</v>
          </cell>
          <cell r="F138">
            <v>4884</v>
          </cell>
          <cell r="G138">
            <v>24545</v>
          </cell>
          <cell r="H138">
            <v>10465</v>
          </cell>
          <cell r="I138">
            <v>4764</v>
          </cell>
          <cell r="J138">
            <v>9117</v>
          </cell>
          <cell r="K138">
            <v>5146</v>
          </cell>
          <cell r="M138">
            <v>6985</v>
          </cell>
          <cell r="N138">
            <v>7191</v>
          </cell>
          <cell r="O138">
            <v>5178</v>
          </cell>
          <cell r="DN138">
            <v>113440</v>
          </cell>
          <cell r="DO138">
            <v>138</v>
          </cell>
        </row>
        <row r="139">
          <cell r="A139" t="str">
            <v>Grand Forks, ND-MN Metro Area</v>
          </cell>
          <cell r="B139">
            <v>13055</v>
          </cell>
          <cell r="C139">
            <v>20044</v>
          </cell>
          <cell r="D139">
            <v>19238</v>
          </cell>
          <cell r="E139">
            <v>4417</v>
          </cell>
          <cell r="H139">
            <v>5255</v>
          </cell>
          <cell r="K139">
            <v>2373</v>
          </cell>
          <cell r="Q139">
            <v>4831</v>
          </cell>
          <cell r="T139">
            <v>2531</v>
          </cell>
          <cell r="V139">
            <v>2794</v>
          </cell>
          <cell r="X139">
            <v>8597</v>
          </cell>
          <cell r="AB139">
            <v>2907</v>
          </cell>
          <cell r="AC139">
            <v>1697</v>
          </cell>
          <cell r="AQ139">
            <v>2216</v>
          </cell>
          <cell r="BA139">
            <v>3880</v>
          </cell>
          <cell r="BO139">
            <v>3654</v>
          </cell>
          <cell r="DN139">
            <v>97489</v>
          </cell>
          <cell r="DO139">
            <v>139</v>
          </cell>
        </row>
        <row r="140">
          <cell r="A140" t="str">
            <v>Grand Junction, CO Metro Area</v>
          </cell>
          <cell r="B140">
            <v>3732</v>
          </cell>
          <cell r="C140">
            <v>14663</v>
          </cell>
          <cell r="D140">
            <v>24997</v>
          </cell>
          <cell r="E140">
            <v>15651</v>
          </cell>
          <cell r="F140">
            <v>10530</v>
          </cell>
          <cell r="G140">
            <v>15475</v>
          </cell>
          <cell r="H140">
            <v>12321</v>
          </cell>
          <cell r="L140">
            <v>11136</v>
          </cell>
          <cell r="N140">
            <v>5339</v>
          </cell>
          <cell r="AD140">
            <v>3095</v>
          </cell>
          <cell r="DN140">
            <v>116939</v>
          </cell>
          <cell r="DO140">
            <v>140</v>
          </cell>
        </row>
        <row r="141">
          <cell r="A141" t="str">
            <v>Grand Rapids-Wyoming, MI Metro Area</v>
          </cell>
          <cell r="B141">
            <v>15639</v>
          </cell>
          <cell r="C141">
            <v>65210</v>
          </cell>
          <cell r="D141">
            <v>55965</v>
          </cell>
          <cell r="E141">
            <v>56891</v>
          </cell>
          <cell r="F141">
            <v>62380</v>
          </cell>
          <cell r="G141">
            <v>57334</v>
          </cell>
          <cell r="H141">
            <v>47616</v>
          </cell>
          <cell r="I141">
            <v>50519</v>
          </cell>
          <cell r="J141">
            <v>29379</v>
          </cell>
          <cell r="K141">
            <v>21704</v>
          </cell>
          <cell r="L141">
            <v>9678</v>
          </cell>
          <cell r="M141">
            <v>12696</v>
          </cell>
          <cell r="N141">
            <v>13819</v>
          </cell>
          <cell r="O141">
            <v>20790</v>
          </cell>
          <cell r="P141">
            <v>10027</v>
          </cell>
          <cell r="Q141">
            <v>5807</v>
          </cell>
          <cell r="R141">
            <v>13917</v>
          </cell>
          <cell r="T141">
            <v>3620</v>
          </cell>
          <cell r="U141">
            <v>15416</v>
          </cell>
          <cell r="V141">
            <v>5108</v>
          </cell>
          <cell r="W141">
            <v>5357</v>
          </cell>
          <cell r="X141">
            <v>7197</v>
          </cell>
          <cell r="Y141">
            <v>7120</v>
          </cell>
          <cell r="Z141">
            <v>14556</v>
          </cell>
          <cell r="AA141">
            <v>2245</v>
          </cell>
          <cell r="AB141">
            <v>4818</v>
          </cell>
          <cell r="AC141">
            <v>10081</v>
          </cell>
          <cell r="AD141">
            <v>6461</v>
          </cell>
          <cell r="AE141">
            <v>8262</v>
          </cell>
          <cell r="AF141">
            <v>21676</v>
          </cell>
          <cell r="AG141">
            <v>9607</v>
          </cell>
          <cell r="AJ141">
            <v>5822</v>
          </cell>
          <cell r="AK141">
            <v>18411</v>
          </cell>
          <cell r="AL141">
            <v>4015</v>
          </cell>
          <cell r="AM141">
            <v>11525</v>
          </cell>
          <cell r="AN141">
            <v>8724</v>
          </cell>
          <cell r="AP141">
            <v>9338</v>
          </cell>
          <cell r="AR141">
            <v>3217</v>
          </cell>
          <cell r="AT141">
            <v>3825</v>
          </cell>
          <cell r="BA141">
            <v>4821</v>
          </cell>
          <cell r="DN141">
            <v>740593</v>
          </cell>
          <cell r="DO141">
            <v>141</v>
          </cell>
        </row>
        <row r="142">
          <cell r="A142" t="str">
            <v>Great Falls, MT Metro Area</v>
          </cell>
          <cell r="B142">
            <v>7190</v>
          </cell>
          <cell r="C142">
            <v>23323</v>
          </cell>
          <cell r="D142">
            <v>18155</v>
          </cell>
          <cell r="E142">
            <v>13184</v>
          </cell>
          <cell r="G142">
            <v>8348</v>
          </cell>
          <cell r="Q142">
            <v>8243</v>
          </cell>
          <cell r="AB142">
            <v>1916</v>
          </cell>
          <cell r="DN142">
            <v>80359</v>
          </cell>
          <cell r="DO142">
            <v>142</v>
          </cell>
        </row>
        <row r="143">
          <cell r="A143" t="str">
            <v>Greeley, CO Metro Area</v>
          </cell>
          <cell r="B143">
            <v>18810</v>
          </cell>
          <cell r="C143">
            <v>29154</v>
          </cell>
          <cell r="D143">
            <v>24439</v>
          </cell>
          <cell r="E143">
            <v>14090</v>
          </cell>
          <cell r="F143">
            <v>6660</v>
          </cell>
          <cell r="G143">
            <v>1050</v>
          </cell>
          <cell r="H143">
            <v>5026</v>
          </cell>
          <cell r="I143">
            <v>9050</v>
          </cell>
          <cell r="K143">
            <v>3885</v>
          </cell>
          <cell r="L143">
            <v>449</v>
          </cell>
          <cell r="M143">
            <v>7252</v>
          </cell>
          <cell r="N143">
            <v>8476</v>
          </cell>
          <cell r="O143">
            <v>4650</v>
          </cell>
          <cell r="Q143">
            <v>4074</v>
          </cell>
          <cell r="U143">
            <v>3679</v>
          </cell>
          <cell r="W143">
            <v>7213</v>
          </cell>
          <cell r="X143">
            <v>868</v>
          </cell>
          <cell r="Y143">
            <v>3961</v>
          </cell>
          <cell r="Z143">
            <v>7948</v>
          </cell>
          <cell r="AA143">
            <v>5951</v>
          </cell>
          <cell r="AB143">
            <v>10276</v>
          </cell>
          <cell r="AC143">
            <v>151</v>
          </cell>
          <cell r="AE143">
            <v>401</v>
          </cell>
          <cell r="AF143">
            <v>1178</v>
          </cell>
          <cell r="AH143">
            <v>2062</v>
          </cell>
          <cell r="AI143">
            <v>7</v>
          </cell>
          <cell r="DN143">
            <v>180760</v>
          </cell>
          <cell r="DO143">
            <v>143</v>
          </cell>
        </row>
        <row r="144">
          <cell r="A144" t="str">
            <v>Green Bay, WI Metro Area</v>
          </cell>
          <cell r="B144">
            <v>12541</v>
          </cell>
          <cell r="C144">
            <v>31419</v>
          </cell>
          <cell r="D144">
            <v>34052</v>
          </cell>
          <cell r="E144">
            <v>41040</v>
          </cell>
          <cell r="F144">
            <v>24883</v>
          </cell>
          <cell r="G144">
            <v>31015</v>
          </cell>
          <cell r="H144">
            <v>18916</v>
          </cell>
          <cell r="J144">
            <v>8659</v>
          </cell>
          <cell r="K144">
            <v>5353</v>
          </cell>
          <cell r="N144">
            <v>10348</v>
          </cell>
          <cell r="O144">
            <v>5468</v>
          </cell>
          <cell r="Q144">
            <v>6832</v>
          </cell>
          <cell r="R144">
            <v>10928</v>
          </cell>
          <cell r="W144">
            <v>4320</v>
          </cell>
          <cell r="X144">
            <v>6105</v>
          </cell>
          <cell r="AA144">
            <v>2768</v>
          </cell>
          <cell r="AB144">
            <v>8033</v>
          </cell>
          <cell r="AD144">
            <v>6269</v>
          </cell>
          <cell r="AF144">
            <v>2930</v>
          </cell>
          <cell r="AH144">
            <v>2494</v>
          </cell>
          <cell r="AN144">
            <v>2843</v>
          </cell>
          <cell r="AS144">
            <v>2412</v>
          </cell>
          <cell r="BI144">
            <v>2865</v>
          </cell>
          <cell r="DN144">
            <v>282493</v>
          </cell>
          <cell r="DO144">
            <v>144</v>
          </cell>
        </row>
        <row r="145">
          <cell r="A145" t="str">
            <v>Greensboro-High Point, NC Metro Area</v>
          </cell>
          <cell r="B145">
            <v>11045</v>
          </cell>
          <cell r="C145">
            <v>28412</v>
          </cell>
          <cell r="D145">
            <v>31523</v>
          </cell>
          <cell r="E145">
            <v>61972</v>
          </cell>
          <cell r="F145">
            <v>39313</v>
          </cell>
          <cell r="G145">
            <v>43129</v>
          </cell>
          <cell r="H145">
            <v>36927</v>
          </cell>
          <cell r="I145">
            <v>14513</v>
          </cell>
          <cell r="J145">
            <v>19876</v>
          </cell>
          <cell r="K145">
            <v>11530</v>
          </cell>
          <cell r="L145">
            <v>21470</v>
          </cell>
          <cell r="M145">
            <v>8949</v>
          </cell>
          <cell r="N145">
            <v>28478</v>
          </cell>
          <cell r="O145">
            <v>38527</v>
          </cell>
          <cell r="P145">
            <v>31205</v>
          </cell>
          <cell r="Q145">
            <v>18130</v>
          </cell>
          <cell r="R145">
            <v>5713</v>
          </cell>
          <cell r="S145">
            <v>13816</v>
          </cell>
          <cell r="T145">
            <v>11450</v>
          </cell>
          <cell r="U145">
            <v>24700</v>
          </cell>
          <cell r="V145">
            <v>5593</v>
          </cell>
          <cell r="W145">
            <v>17185</v>
          </cell>
          <cell r="X145">
            <v>9227</v>
          </cell>
          <cell r="Y145">
            <v>12021</v>
          </cell>
          <cell r="Z145">
            <v>8754</v>
          </cell>
          <cell r="AA145">
            <v>12335</v>
          </cell>
          <cell r="AB145">
            <v>15084</v>
          </cell>
          <cell r="AC145">
            <v>7462</v>
          </cell>
          <cell r="AD145">
            <v>17751</v>
          </cell>
          <cell r="AE145">
            <v>6943</v>
          </cell>
          <cell r="AF145">
            <v>10662</v>
          </cell>
          <cell r="AG145">
            <v>4150</v>
          </cell>
          <cell r="AH145">
            <v>3635</v>
          </cell>
          <cell r="AI145">
            <v>5621</v>
          </cell>
          <cell r="AJ145">
            <v>6262</v>
          </cell>
          <cell r="DN145">
            <v>643363</v>
          </cell>
          <cell r="DO145">
            <v>145</v>
          </cell>
        </row>
        <row r="146">
          <cell r="A146" t="str">
            <v>Greenville, NC Metro Area</v>
          </cell>
          <cell r="B146">
            <v>16793</v>
          </cell>
          <cell r="C146">
            <v>10083</v>
          </cell>
          <cell r="D146">
            <v>28862</v>
          </cell>
          <cell r="F146">
            <v>15122</v>
          </cell>
          <cell r="G146">
            <v>15228</v>
          </cell>
          <cell r="H146">
            <v>9623</v>
          </cell>
          <cell r="I146">
            <v>5493</v>
          </cell>
          <cell r="K146">
            <v>8770</v>
          </cell>
          <cell r="L146">
            <v>9514</v>
          </cell>
          <cell r="M146">
            <v>2554</v>
          </cell>
          <cell r="N146">
            <v>8744</v>
          </cell>
          <cell r="Q146">
            <v>4209</v>
          </cell>
          <cell r="R146">
            <v>2959</v>
          </cell>
          <cell r="S146">
            <v>4015</v>
          </cell>
          <cell r="V146">
            <v>6601</v>
          </cell>
          <cell r="AA146">
            <v>4134</v>
          </cell>
          <cell r="DN146">
            <v>152704</v>
          </cell>
          <cell r="DO146">
            <v>146</v>
          </cell>
        </row>
        <row r="147">
          <cell r="A147" t="str">
            <v>Greenville-Mauldin-Easley, SC Metro Area</v>
          </cell>
          <cell r="B147">
            <v>9155</v>
          </cell>
          <cell r="C147">
            <v>22116</v>
          </cell>
          <cell r="D147">
            <v>40927</v>
          </cell>
          <cell r="E147">
            <v>37783</v>
          </cell>
          <cell r="F147">
            <v>26784</v>
          </cell>
          <cell r="G147">
            <v>34798</v>
          </cell>
          <cell r="H147">
            <v>34187</v>
          </cell>
          <cell r="I147">
            <v>38426</v>
          </cell>
          <cell r="J147">
            <v>13397</v>
          </cell>
          <cell r="K147">
            <v>36266</v>
          </cell>
          <cell r="L147">
            <v>39066</v>
          </cell>
          <cell r="M147">
            <v>16564</v>
          </cell>
          <cell r="N147">
            <v>28812</v>
          </cell>
          <cell r="O147">
            <v>19749</v>
          </cell>
          <cell r="P147">
            <v>4751</v>
          </cell>
          <cell r="Q147">
            <v>10651</v>
          </cell>
          <cell r="R147">
            <v>9648</v>
          </cell>
          <cell r="S147">
            <v>25006</v>
          </cell>
          <cell r="U147">
            <v>6591</v>
          </cell>
          <cell r="V147">
            <v>9111</v>
          </cell>
          <cell r="W147">
            <v>1264</v>
          </cell>
          <cell r="Y147">
            <v>16200</v>
          </cell>
          <cell r="Z147">
            <v>7141</v>
          </cell>
          <cell r="AA147">
            <v>5100</v>
          </cell>
          <cell r="AB147">
            <v>7600</v>
          </cell>
          <cell r="AC147">
            <v>9108</v>
          </cell>
          <cell r="AF147">
            <v>5804</v>
          </cell>
          <cell r="AG147">
            <v>6280</v>
          </cell>
          <cell r="AH147">
            <v>5573</v>
          </cell>
          <cell r="AJ147">
            <v>4455</v>
          </cell>
          <cell r="AK147">
            <v>3534</v>
          </cell>
          <cell r="AN147">
            <v>5449</v>
          </cell>
          <cell r="AO147">
            <v>4941</v>
          </cell>
          <cell r="AP147">
            <v>8207</v>
          </cell>
          <cell r="AU147">
            <v>5354</v>
          </cell>
          <cell r="DN147">
            <v>559798</v>
          </cell>
          <cell r="DO147">
            <v>147</v>
          </cell>
        </row>
        <row r="148">
          <cell r="A148" t="str">
            <v>Gulfport-Biloxi, MS Metro Area</v>
          </cell>
          <cell r="B148">
            <v>7144</v>
          </cell>
          <cell r="C148">
            <v>8607</v>
          </cell>
          <cell r="D148">
            <v>8921</v>
          </cell>
          <cell r="E148">
            <v>14330</v>
          </cell>
          <cell r="F148">
            <v>22617</v>
          </cell>
          <cell r="G148">
            <v>12824</v>
          </cell>
          <cell r="H148">
            <v>19718</v>
          </cell>
          <cell r="I148">
            <v>3791</v>
          </cell>
          <cell r="J148">
            <v>22782</v>
          </cell>
          <cell r="K148">
            <v>9517</v>
          </cell>
          <cell r="L148">
            <v>16308</v>
          </cell>
          <cell r="M148">
            <v>11952</v>
          </cell>
          <cell r="N148">
            <v>12693</v>
          </cell>
          <cell r="O148">
            <v>1391</v>
          </cell>
          <cell r="P148">
            <v>4808</v>
          </cell>
          <cell r="Q148">
            <v>17897</v>
          </cell>
          <cell r="R148">
            <v>5912</v>
          </cell>
          <cell r="T148">
            <v>17440</v>
          </cell>
          <cell r="V148">
            <v>5276</v>
          </cell>
          <cell r="AA148">
            <v>5759</v>
          </cell>
          <cell r="AD148">
            <v>2835</v>
          </cell>
          <cell r="AE148">
            <v>5248</v>
          </cell>
          <cell r="AF148">
            <v>4805</v>
          </cell>
          <cell r="AI148">
            <v>3539</v>
          </cell>
          <cell r="DN148">
            <v>246114</v>
          </cell>
          <cell r="DO148">
            <v>148</v>
          </cell>
        </row>
        <row r="149">
          <cell r="A149" t="str">
            <v>Hagerstown-Martinsburg, MD-WV Metro Area</v>
          </cell>
          <cell r="B149">
            <v>19061</v>
          </cell>
          <cell r="C149">
            <v>17017</v>
          </cell>
          <cell r="D149">
            <v>16991</v>
          </cell>
          <cell r="E149">
            <v>18050</v>
          </cell>
          <cell r="G149">
            <v>18463</v>
          </cell>
          <cell r="H149">
            <v>14092</v>
          </cell>
          <cell r="I149">
            <v>4234</v>
          </cell>
          <cell r="K149">
            <v>5108</v>
          </cell>
          <cell r="L149">
            <v>9311</v>
          </cell>
          <cell r="N149">
            <v>4804</v>
          </cell>
          <cell r="O149">
            <v>4055</v>
          </cell>
          <cell r="P149">
            <v>6336</v>
          </cell>
          <cell r="Q149">
            <v>7222</v>
          </cell>
          <cell r="R149">
            <v>11746</v>
          </cell>
          <cell r="T149">
            <v>8213</v>
          </cell>
          <cell r="U149">
            <v>17094</v>
          </cell>
          <cell r="X149">
            <v>11330</v>
          </cell>
          <cell r="AA149">
            <v>3702</v>
          </cell>
          <cell r="AB149">
            <v>15960</v>
          </cell>
          <cell r="AD149">
            <v>3947</v>
          </cell>
          <cell r="AF149">
            <v>3758</v>
          </cell>
          <cell r="AK149">
            <v>2247</v>
          </cell>
          <cell r="DN149">
            <v>222741</v>
          </cell>
          <cell r="DO149">
            <v>149</v>
          </cell>
        </row>
        <row r="150">
          <cell r="A150" t="str">
            <v>Hanford-Corcoran, CA Metro Area</v>
          </cell>
          <cell r="B150">
            <v>7677</v>
          </cell>
          <cell r="C150">
            <v>25728</v>
          </cell>
          <cell r="D150">
            <v>13617</v>
          </cell>
          <cell r="E150">
            <v>4396</v>
          </cell>
          <cell r="F150">
            <v>2494</v>
          </cell>
          <cell r="G150">
            <v>3350</v>
          </cell>
          <cell r="I150">
            <v>11108</v>
          </cell>
          <cell r="J150">
            <v>10724</v>
          </cell>
          <cell r="L150">
            <v>2290</v>
          </cell>
          <cell r="P150">
            <v>5757</v>
          </cell>
          <cell r="R150">
            <v>9629</v>
          </cell>
          <cell r="S150">
            <v>6901</v>
          </cell>
          <cell r="U150">
            <v>11303</v>
          </cell>
          <cell r="AK150">
            <v>7946</v>
          </cell>
          <cell r="AL150">
            <v>6549</v>
          </cell>
          <cell r="DN150">
            <v>129469</v>
          </cell>
          <cell r="DO150">
            <v>150</v>
          </cell>
        </row>
        <row r="151">
          <cell r="A151" t="str">
            <v>Harrisburg-Carlisle, PA Metro Area</v>
          </cell>
          <cell r="B151">
            <v>15270</v>
          </cell>
          <cell r="C151">
            <v>41849</v>
          </cell>
          <cell r="D151">
            <v>42816</v>
          </cell>
          <cell r="E151">
            <v>27901</v>
          </cell>
          <cell r="F151">
            <v>42175</v>
          </cell>
          <cell r="G151">
            <v>30392</v>
          </cell>
          <cell r="H151">
            <v>36720</v>
          </cell>
          <cell r="I151">
            <v>24787</v>
          </cell>
          <cell r="J151">
            <v>25732</v>
          </cell>
          <cell r="K151">
            <v>28707</v>
          </cell>
          <cell r="M151">
            <v>23827</v>
          </cell>
          <cell r="N151">
            <v>7222</v>
          </cell>
          <cell r="O151">
            <v>17575</v>
          </cell>
          <cell r="P151">
            <v>4639</v>
          </cell>
          <cell r="Q151">
            <v>19508</v>
          </cell>
          <cell r="R151">
            <v>13601</v>
          </cell>
          <cell r="S151">
            <v>16920</v>
          </cell>
          <cell r="T151">
            <v>8046</v>
          </cell>
          <cell r="U151">
            <v>7894</v>
          </cell>
          <cell r="V151">
            <v>12234</v>
          </cell>
          <cell r="W151">
            <v>4665</v>
          </cell>
          <cell r="Y151">
            <v>7747</v>
          </cell>
          <cell r="AA151">
            <v>7378</v>
          </cell>
          <cell r="AB151">
            <v>16741</v>
          </cell>
          <cell r="AC151">
            <v>4148</v>
          </cell>
          <cell r="AD151">
            <v>1327</v>
          </cell>
          <cell r="AG151">
            <v>3004</v>
          </cell>
          <cell r="AJ151">
            <v>7324</v>
          </cell>
          <cell r="AL151">
            <v>8880</v>
          </cell>
          <cell r="DN151">
            <v>509029</v>
          </cell>
          <cell r="DO151">
            <v>151</v>
          </cell>
        </row>
        <row r="152">
          <cell r="A152" t="str">
            <v>Harrisonburg, VA Metro Area</v>
          </cell>
          <cell r="B152">
            <v>13111</v>
          </cell>
          <cell r="C152">
            <v>22182</v>
          </cell>
          <cell r="D152">
            <v>5097</v>
          </cell>
          <cell r="E152">
            <v>6880</v>
          </cell>
          <cell r="F152">
            <v>2927</v>
          </cell>
          <cell r="G152">
            <v>8852</v>
          </cell>
          <cell r="H152">
            <v>8659</v>
          </cell>
          <cell r="I152">
            <v>4187</v>
          </cell>
          <cell r="K152">
            <v>9220</v>
          </cell>
          <cell r="L152">
            <v>4955</v>
          </cell>
          <cell r="N152">
            <v>9728</v>
          </cell>
          <cell r="P152">
            <v>6845</v>
          </cell>
          <cell r="Q152">
            <v>2515</v>
          </cell>
          <cell r="R152">
            <v>3058</v>
          </cell>
          <cell r="DN152">
            <v>108216</v>
          </cell>
          <cell r="DO152">
            <v>152</v>
          </cell>
        </row>
        <row r="153">
          <cell r="A153" t="str">
            <v>Hartford-West Hartford-East Hartford, CT Metro Area</v>
          </cell>
          <cell r="B153">
            <v>17332</v>
          </cell>
          <cell r="C153">
            <v>82388</v>
          </cell>
          <cell r="D153">
            <v>56598</v>
          </cell>
          <cell r="E153">
            <v>52356</v>
          </cell>
          <cell r="F153">
            <v>64249</v>
          </cell>
          <cell r="G153">
            <v>35111</v>
          </cell>
          <cell r="H153">
            <v>59306</v>
          </cell>
          <cell r="I153">
            <v>72431</v>
          </cell>
          <cell r="J153">
            <v>63068</v>
          </cell>
          <cell r="K153">
            <v>53430</v>
          </cell>
          <cell r="L153">
            <v>61734</v>
          </cell>
          <cell r="M153">
            <v>42493</v>
          </cell>
          <cell r="N153">
            <v>71463</v>
          </cell>
          <cell r="O153">
            <v>57106</v>
          </cell>
          <cell r="P153">
            <v>59044</v>
          </cell>
          <cell r="Q153">
            <v>64381</v>
          </cell>
          <cell r="R153">
            <v>45051</v>
          </cell>
          <cell r="S153">
            <v>39961</v>
          </cell>
          <cell r="T153">
            <v>22519</v>
          </cell>
          <cell r="U153">
            <v>11680</v>
          </cell>
          <cell r="V153">
            <v>16536</v>
          </cell>
          <cell r="W153">
            <v>14304</v>
          </cell>
          <cell r="X153">
            <v>20750</v>
          </cell>
          <cell r="Y153">
            <v>3872</v>
          </cell>
          <cell r="Z153">
            <v>3975</v>
          </cell>
          <cell r="AA153">
            <v>3481</v>
          </cell>
          <cell r="AB153">
            <v>7142</v>
          </cell>
          <cell r="AC153">
            <v>6025</v>
          </cell>
          <cell r="AE153">
            <v>4614</v>
          </cell>
          <cell r="AG153">
            <v>6511</v>
          </cell>
          <cell r="AH153">
            <v>7171</v>
          </cell>
          <cell r="AJ153">
            <v>17097</v>
          </cell>
          <cell r="AL153">
            <v>5486</v>
          </cell>
          <cell r="DN153">
            <v>1148665</v>
          </cell>
          <cell r="DO153">
            <v>153</v>
          </cell>
        </row>
        <row r="154">
          <cell r="A154" t="str">
            <v>Hattiesburg, MS Metro Area</v>
          </cell>
          <cell r="B154">
            <v>7255</v>
          </cell>
          <cell r="C154">
            <v>13168</v>
          </cell>
          <cell r="D154">
            <v>12342</v>
          </cell>
          <cell r="E154">
            <v>16754</v>
          </cell>
          <cell r="F154">
            <v>11956</v>
          </cell>
          <cell r="G154">
            <v>10545</v>
          </cell>
          <cell r="H154">
            <v>4961</v>
          </cell>
          <cell r="J154">
            <v>8938</v>
          </cell>
          <cell r="P154">
            <v>12749</v>
          </cell>
          <cell r="Q154">
            <v>5451</v>
          </cell>
          <cell r="R154">
            <v>3731</v>
          </cell>
          <cell r="S154">
            <v>4416</v>
          </cell>
          <cell r="T154">
            <v>4582</v>
          </cell>
          <cell r="Y154">
            <v>7077</v>
          </cell>
          <cell r="DN154">
            <v>123925</v>
          </cell>
          <cell r="DO154">
            <v>154</v>
          </cell>
        </row>
        <row r="155">
          <cell r="A155" t="str">
            <v>Hickory-Lenoir-Morganton, NC Metro Area</v>
          </cell>
          <cell r="B155">
            <v>4334</v>
          </cell>
          <cell r="C155">
            <v>15295</v>
          </cell>
          <cell r="D155">
            <v>12102</v>
          </cell>
          <cell r="E155">
            <v>20598</v>
          </cell>
          <cell r="F155">
            <v>9955</v>
          </cell>
          <cell r="G155">
            <v>15697</v>
          </cell>
          <cell r="H155">
            <v>19510</v>
          </cell>
          <cell r="I155">
            <v>15932</v>
          </cell>
          <cell r="J155">
            <v>17147</v>
          </cell>
          <cell r="K155">
            <v>8473</v>
          </cell>
          <cell r="L155">
            <v>13763</v>
          </cell>
          <cell r="M155">
            <v>27446</v>
          </cell>
          <cell r="N155">
            <v>14915</v>
          </cell>
          <cell r="O155">
            <v>9011</v>
          </cell>
          <cell r="P155">
            <v>10595</v>
          </cell>
          <cell r="Q155">
            <v>21151</v>
          </cell>
          <cell r="R155">
            <v>18828</v>
          </cell>
          <cell r="S155">
            <v>9839</v>
          </cell>
          <cell r="T155">
            <v>11222</v>
          </cell>
          <cell r="U155">
            <v>15003</v>
          </cell>
          <cell r="V155">
            <v>15630</v>
          </cell>
          <cell r="W155">
            <v>10987</v>
          </cell>
          <cell r="X155">
            <v>4102</v>
          </cell>
          <cell r="Z155">
            <v>10043</v>
          </cell>
          <cell r="AB155">
            <v>4731</v>
          </cell>
          <cell r="AC155">
            <v>5540</v>
          </cell>
          <cell r="DN155">
            <v>341849</v>
          </cell>
          <cell r="DO155">
            <v>155</v>
          </cell>
        </row>
        <row r="156">
          <cell r="A156" t="str">
            <v>Hinesville-Fort Stewart, GA Metro Area</v>
          </cell>
          <cell r="B156">
            <v>6891</v>
          </cell>
          <cell r="C156">
            <v>11829</v>
          </cell>
          <cell r="D156">
            <v>17802</v>
          </cell>
          <cell r="E156">
            <v>12879</v>
          </cell>
          <cell r="G156">
            <v>3350</v>
          </cell>
          <cell r="K156">
            <v>3700</v>
          </cell>
          <cell r="L156">
            <v>12120</v>
          </cell>
          <cell r="P156">
            <v>3363</v>
          </cell>
          <cell r="DN156">
            <v>71934</v>
          </cell>
          <cell r="DO156">
            <v>156</v>
          </cell>
        </row>
        <row r="157">
          <cell r="A157" t="str">
            <v>Holland-Grand Haven, MI Metro Area</v>
          </cell>
          <cell r="B157">
            <v>20043</v>
          </cell>
          <cell r="C157">
            <v>6987</v>
          </cell>
          <cell r="D157">
            <v>20404</v>
          </cell>
          <cell r="E157">
            <v>21551</v>
          </cell>
          <cell r="F157">
            <v>9704</v>
          </cell>
          <cell r="G157">
            <v>1604</v>
          </cell>
          <cell r="H157">
            <v>6442</v>
          </cell>
          <cell r="I157">
            <v>4122</v>
          </cell>
          <cell r="J157">
            <v>10135</v>
          </cell>
          <cell r="N157">
            <v>5771</v>
          </cell>
          <cell r="O157">
            <v>14962</v>
          </cell>
          <cell r="P157">
            <v>15522</v>
          </cell>
          <cell r="Q157">
            <v>17143</v>
          </cell>
          <cell r="R157">
            <v>20908</v>
          </cell>
          <cell r="S157">
            <v>8544</v>
          </cell>
          <cell r="T157">
            <v>5557</v>
          </cell>
          <cell r="U157">
            <v>19581</v>
          </cell>
          <cell r="V157">
            <v>11449</v>
          </cell>
          <cell r="W157">
            <v>7188</v>
          </cell>
          <cell r="X157">
            <v>5265</v>
          </cell>
          <cell r="AA157">
            <v>5528</v>
          </cell>
          <cell r="DN157">
            <v>238410</v>
          </cell>
          <cell r="DO157">
            <v>157</v>
          </cell>
        </row>
        <row r="158">
          <cell r="A158" t="str">
            <v>Honolulu, HI Metro Area</v>
          </cell>
          <cell r="B158">
            <v>37655</v>
          </cell>
          <cell r="C158">
            <v>77677</v>
          </cell>
          <cell r="D158">
            <v>75333</v>
          </cell>
          <cell r="E158">
            <v>66138</v>
          </cell>
          <cell r="F158">
            <v>55399</v>
          </cell>
          <cell r="G158">
            <v>25009</v>
          </cell>
          <cell r="H158">
            <v>28892</v>
          </cell>
          <cell r="I158">
            <v>49772</v>
          </cell>
          <cell r="J158">
            <v>49957</v>
          </cell>
          <cell r="K158">
            <v>88836</v>
          </cell>
          <cell r="L158">
            <v>56404</v>
          </cell>
          <cell r="M158">
            <v>56399</v>
          </cell>
          <cell r="N158">
            <v>23735</v>
          </cell>
          <cell r="O158">
            <v>33682</v>
          </cell>
          <cell r="P158">
            <v>30624</v>
          </cell>
          <cell r="Q158">
            <v>5378</v>
          </cell>
          <cell r="R158">
            <v>21359</v>
          </cell>
          <cell r="S158">
            <v>8361</v>
          </cell>
          <cell r="T158">
            <v>17757</v>
          </cell>
          <cell r="U158">
            <v>10899</v>
          </cell>
          <cell r="V158">
            <v>3727</v>
          </cell>
          <cell r="W158">
            <v>10770</v>
          </cell>
          <cell r="X158">
            <v>5392</v>
          </cell>
          <cell r="Y158">
            <v>11571</v>
          </cell>
          <cell r="Z158">
            <v>3960</v>
          </cell>
          <cell r="AA158">
            <v>13959</v>
          </cell>
          <cell r="AB158">
            <v>7527</v>
          </cell>
          <cell r="DL158">
            <v>5</v>
          </cell>
          <cell r="DN158">
            <v>876177</v>
          </cell>
          <cell r="DO158">
            <v>158</v>
          </cell>
        </row>
        <row r="159">
          <cell r="A159" t="str">
            <v>Hot Springs, AR Metro Area</v>
          </cell>
          <cell r="B159">
            <v>5353</v>
          </cell>
          <cell r="C159">
            <v>10131</v>
          </cell>
          <cell r="D159">
            <v>13386</v>
          </cell>
          <cell r="E159">
            <v>8265</v>
          </cell>
          <cell r="F159">
            <v>3958</v>
          </cell>
          <cell r="G159">
            <v>4204</v>
          </cell>
          <cell r="H159">
            <v>22146</v>
          </cell>
          <cell r="J159">
            <v>5078</v>
          </cell>
          <cell r="L159">
            <v>3510</v>
          </cell>
          <cell r="M159">
            <v>7530</v>
          </cell>
          <cell r="N159">
            <v>4570</v>
          </cell>
          <cell r="DN159">
            <v>88131</v>
          </cell>
          <cell r="DO159">
            <v>159</v>
          </cell>
        </row>
        <row r="160">
          <cell r="A160" t="str">
            <v>Houma-Bayou Cane-Thibodaux, LA Metro Area</v>
          </cell>
          <cell r="B160">
            <v>10817</v>
          </cell>
          <cell r="C160">
            <v>24884</v>
          </cell>
          <cell r="D160">
            <v>13837</v>
          </cell>
          <cell r="E160">
            <v>5777</v>
          </cell>
          <cell r="F160">
            <v>5973</v>
          </cell>
          <cell r="G160">
            <v>7226</v>
          </cell>
          <cell r="H160">
            <v>5443</v>
          </cell>
          <cell r="I160">
            <v>7016</v>
          </cell>
          <cell r="J160">
            <v>14161</v>
          </cell>
          <cell r="K160">
            <v>6933</v>
          </cell>
          <cell r="L160">
            <v>5059</v>
          </cell>
          <cell r="M160">
            <v>6076</v>
          </cell>
          <cell r="N160">
            <v>8575</v>
          </cell>
          <cell r="O160">
            <v>4672</v>
          </cell>
          <cell r="P160">
            <v>26667</v>
          </cell>
          <cell r="Q160">
            <v>6723</v>
          </cell>
          <cell r="R160">
            <v>2696</v>
          </cell>
          <cell r="S160">
            <v>3601</v>
          </cell>
          <cell r="U160">
            <v>4588</v>
          </cell>
          <cell r="V160">
            <v>5300</v>
          </cell>
          <cell r="Y160">
            <v>3935</v>
          </cell>
          <cell r="AA160">
            <v>7295</v>
          </cell>
          <cell r="AC160">
            <v>4459</v>
          </cell>
          <cell r="AF160">
            <v>2804</v>
          </cell>
          <cell r="DN160">
            <v>194517</v>
          </cell>
          <cell r="DO160">
            <v>160</v>
          </cell>
        </row>
        <row r="161">
          <cell r="A161" t="str">
            <v>Houston-Sugar Land-Baytown, TX Metro Area</v>
          </cell>
          <cell r="B161">
            <v>18844</v>
          </cell>
          <cell r="C161">
            <v>46516</v>
          </cell>
          <cell r="D161">
            <v>99153</v>
          </cell>
          <cell r="E161">
            <v>85780</v>
          </cell>
          <cell r="F161">
            <v>122759</v>
          </cell>
          <cell r="G161">
            <v>133814</v>
          </cell>
          <cell r="H161">
            <v>170649</v>
          </cell>
          <cell r="I161">
            <v>181215</v>
          </cell>
          <cell r="J161">
            <v>218289</v>
          </cell>
          <cell r="K161">
            <v>182583</v>
          </cell>
          <cell r="L161">
            <v>260861</v>
          </cell>
          <cell r="M161">
            <v>243649</v>
          </cell>
          <cell r="N161">
            <v>178282</v>
          </cell>
          <cell r="O161">
            <v>215648</v>
          </cell>
          <cell r="P161">
            <v>176512</v>
          </cell>
          <cell r="Q161">
            <v>167211</v>
          </cell>
          <cell r="R161">
            <v>143562</v>
          </cell>
          <cell r="S161">
            <v>133854</v>
          </cell>
          <cell r="T161">
            <v>178137</v>
          </cell>
          <cell r="U161">
            <v>187087</v>
          </cell>
          <cell r="V161">
            <v>151039</v>
          </cell>
          <cell r="W161">
            <v>109690</v>
          </cell>
          <cell r="X161">
            <v>128260</v>
          </cell>
          <cell r="Y161">
            <v>119192</v>
          </cell>
          <cell r="Z161">
            <v>108049</v>
          </cell>
          <cell r="AA161">
            <v>73766</v>
          </cell>
          <cell r="AB161">
            <v>47519</v>
          </cell>
          <cell r="AC161">
            <v>52490</v>
          </cell>
          <cell r="AD161">
            <v>59739</v>
          </cell>
          <cell r="AE161">
            <v>38706</v>
          </cell>
          <cell r="AF161">
            <v>22521</v>
          </cell>
          <cell r="AG161">
            <v>46490</v>
          </cell>
          <cell r="AH161">
            <v>30109</v>
          </cell>
          <cell r="AI161">
            <v>40127</v>
          </cell>
          <cell r="AJ161">
            <v>28578</v>
          </cell>
          <cell r="AK161">
            <v>21447</v>
          </cell>
          <cell r="AL161">
            <v>35355</v>
          </cell>
          <cell r="AM161">
            <v>38796</v>
          </cell>
          <cell r="AN161">
            <v>33346</v>
          </cell>
          <cell r="AO161">
            <v>35982</v>
          </cell>
          <cell r="AP161">
            <v>14127</v>
          </cell>
          <cell r="AQ161">
            <v>30115</v>
          </cell>
          <cell r="AR161">
            <v>9487</v>
          </cell>
          <cell r="AS161">
            <v>28465</v>
          </cell>
          <cell r="AT161">
            <v>14436</v>
          </cell>
          <cell r="AU161">
            <v>24307</v>
          </cell>
          <cell r="AV161">
            <v>31283</v>
          </cell>
          <cell r="AW161">
            <v>55581</v>
          </cell>
          <cell r="AX161">
            <v>10506</v>
          </cell>
          <cell r="AY161">
            <v>30644</v>
          </cell>
          <cell r="AZ161">
            <v>30826</v>
          </cell>
          <cell r="BA161">
            <v>2192</v>
          </cell>
          <cell r="BB161">
            <v>2828</v>
          </cell>
          <cell r="BC161">
            <v>17483</v>
          </cell>
          <cell r="BD161">
            <v>5462</v>
          </cell>
          <cell r="BE161">
            <v>11308</v>
          </cell>
          <cell r="BF161">
            <v>10872</v>
          </cell>
          <cell r="BG161">
            <v>2715</v>
          </cell>
          <cell r="BI161">
            <v>5592</v>
          </cell>
          <cell r="BJ161">
            <v>4501</v>
          </cell>
          <cell r="BP161">
            <v>3173</v>
          </cell>
          <cell r="BS161">
            <v>4207</v>
          </cell>
          <cell r="DN161">
            <v>4715716</v>
          </cell>
          <cell r="DO161">
            <v>161</v>
          </cell>
        </row>
        <row r="162">
          <cell r="A162" t="str">
            <v>Huntington-Ashland, WV-KY-OH Metro Area</v>
          </cell>
          <cell r="B162">
            <v>12146</v>
          </cell>
          <cell r="C162">
            <v>19197</v>
          </cell>
          <cell r="D162">
            <v>17391</v>
          </cell>
          <cell r="E162">
            <v>13352</v>
          </cell>
          <cell r="F162">
            <v>11190</v>
          </cell>
          <cell r="G162">
            <v>17468</v>
          </cell>
          <cell r="H162">
            <v>9727</v>
          </cell>
          <cell r="I162">
            <v>9845</v>
          </cell>
          <cell r="J162">
            <v>14604</v>
          </cell>
          <cell r="K162">
            <v>11216</v>
          </cell>
          <cell r="L162">
            <v>16953</v>
          </cell>
          <cell r="M162">
            <v>21600</v>
          </cell>
          <cell r="N162">
            <v>3966</v>
          </cell>
          <cell r="O162">
            <v>19167</v>
          </cell>
          <cell r="P162">
            <v>23298</v>
          </cell>
          <cell r="Q162">
            <v>8386</v>
          </cell>
          <cell r="R162">
            <v>10643</v>
          </cell>
          <cell r="S162">
            <v>5744</v>
          </cell>
          <cell r="T162">
            <v>8930</v>
          </cell>
          <cell r="U162">
            <v>9333</v>
          </cell>
          <cell r="X162">
            <v>6029</v>
          </cell>
          <cell r="Z162">
            <v>4897</v>
          </cell>
          <cell r="AE162">
            <v>3373</v>
          </cell>
          <cell r="AH162">
            <v>3537</v>
          </cell>
          <cell r="AI162">
            <v>3539</v>
          </cell>
          <cell r="AK162">
            <v>3131</v>
          </cell>
          <cell r="DN162">
            <v>288662</v>
          </cell>
          <cell r="DO162">
            <v>162</v>
          </cell>
        </row>
        <row r="163">
          <cell r="A163" t="str">
            <v>Huntsville, AL Metro Area</v>
          </cell>
          <cell r="B163">
            <v>3219</v>
          </cell>
          <cell r="C163">
            <v>19202</v>
          </cell>
          <cell r="D163">
            <v>39921</v>
          </cell>
          <cell r="E163">
            <v>32365</v>
          </cell>
          <cell r="F163">
            <v>10497</v>
          </cell>
          <cell r="G163">
            <v>22511</v>
          </cell>
          <cell r="H163">
            <v>16382</v>
          </cell>
          <cell r="I163">
            <v>27182</v>
          </cell>
          <cell r="J163">
            <v>20115</v>
          </cell>
          <cell r="K163">
            <v>25050</v>
          </cell>
          <cell r="L163">
            <v>9569</v>
          </cell>
          <cell r="M163">
            <v>15586</v>
          </cell>
          <cell r="N163">
            <v>10823</v>
          </cell>
          <cell r="O163">
            <v>4251</v>
          </cell>
          <cell r="P163">
            <v>7819</v>
          </cell>
          <cell r="Q163">
            <v>19064</v>
          </cell>
          <cell r="R163">
            <v>8636</v>
          </cell>
          <cell r="T163">
            <v>3632</v>
          </cell>
          <cell r="W163">
            <v>10510</v>
          </cell>
          <cell r="X163">
            <v>8209</v>
          </cell>
          <cell r="Y163">
            <v>6435</v>
          </cell>
          <cell r="Z163">
            <v>4168</v>
          </cell>
          <cell r="AA163">
            <v>4255</v>
          </cell>
          <cell r="AB163">
            <v>4440</v>
          </cell>
          <cell r="AG163">
            <v>5228</v>
          </cell>
          <cell r="AJ163">
            <v>3592</v>
          </cell>
          <cell r="DN163">
            <v>342661</v>
          </cell>
          <cell r="DO163">
            <v>163</v>
          </cell>
        </row>
        <row r="164">
          <cell r="A164" t="str">
            <v>Idaho Falls, ID Metro Area</v>
          </cell>
          <cell r="B164">
            <v>8327</v>
          </cell>
          <cell r="C164">
            <v>29656</v>
          </cell>
          <cell r="D164">
            <v>15842</v>
          </cell>
          <cell r="E164">
            <v>1780</v>
          </cell>
          <cell r="F164">
            <v>13793</v>
          </cell>
          <cell r="G164">
            <v>4222</v>
          </cell>
          <cell r="J164">
            <v>5216</v>
          </cell>
          <cell r="M164">
            <v>3702</v>
          </cell>
          <cell r="O164">
            <v>4910</v>
          </cell>
          <cell r="P164">
            <v>10347</v>
          </cell>
          <cell r="AA164">
            <v>3869</v>
          </cell>
          <cell r="DN164">
            <v>101664</v>
          </cell>
          <cell r="DO164">
            <v>164</v>
          </cell>
        </row>
        <row r="165">
          <cell r="A165" t="str">
            <v>Indianapolis-Carmel, IN Metro Area</v>
          </cell>
          <cell r="B165">
            <v>13409</v>
          </cell>
          <cell r="C165">
            <v>36409</v>
          </cell>
          <cell r="D165">
            <v>68126</v>
          </cell>
          <cell r="E165">
            <v>72255</v>
          </cell>
          <cell r="F165">
            <v>78683</v>
          </cell>
          <cell r="G165">
            <v>80438</v>
          </cell>
          <cell r="H165">
            <v>101280</v>
          </cell>
          <cell r="I165">
            <v>107064</v>
          </cell>
          <cell r="J165">
            <v>131522</v>
          </cell>
          <cell r="K165">
            <v>72396</v>
          </cell>
          <cell r="L165">
            <v>71747</v>
          </cell>
          <cell r="M165">
            <v>64433</v>
          </cell>
          <cell r="N165">
            <v>59285</v>
          </cell>
          <cell r="O165">
            <v>71646</v>
          </cell>
          <cell r="P165">
            <v>53564</v>
          </cell>
          <cell r="Q165">
            <v>79164</v>
          </cell>
          <cell r="R165">
            <v>11879</v>
          </cell>
          <cell r="S165">
            <v>27524</v>
          </cell>
          <cell r="T165">
            <v>21163</v>
          </cell>
          <cell r="U165">
            <v>32291</v>
          </cell>
          <cell r="V165">
            <v>44127</v>
          </cell>
          <cell r="W165">
            <v>19044</v>
          </cell>
          <cell r="X165">
            <v>9219</v>
          </cell>
          <cell r="Y165">
            <v>27039</v>
          </cell>
          <cell r="Z165">
            <v>9493</v>
          </cell>
          <cell r="AA165">
            <v>18495</v>
          </cell>
          <cell r="AB165">
            <v>41241</v>
          </cell>
          <cell r="AC165">
            <v>15122</v>
          </cell>
          <cell r="AD165">
            <v>13340</v>
          </cell>
          <cell r="AE165">
            <v>3616</v>
          </cell>
          <cell r="AF165">
            <v>11327</v>
          </cell>
          <cell r="AG165">
            <v>13614</v>
          </cell>
          <cell r="AI165">
            <v>7148</v>
          </cell>
          <cell r="AL165">
            <v>7353</v>
          </cell>
          <cell r="AM165">
            <v>12950</v>
          </cell>
          <cell r="AN165">
            <v>5130</v>
          </cell>
          <cell r="AQ165">
            <v>2894</v>
          </cell>
          <cell r="AR165">
            <v>9695</v>
          </cell>
          <cell r="DN165">
            <v>1525125</v>
          </cell>
          <cell r="DO165">
            <v>165</v>
          </cell>
        </row>
        <row r="166">
          <cell r="A166" t="str">
            <v>Iowa City, IA Metro Area</v>
          </cell>
          <cell r="B166">
            <v>20832</v>
          </cell>
          <cell r="C166">
            <v>27980</v>
          </cell>
          <cell r="D166">
            <v>17385</v>
          </cell>
          <cell r="E166">
            <v>5734</v>
          </cell>
          <cell r="F166">
            <v>5839</v>
          </cell>
          <cell r="G166">
            <v>4994</v>
          </cell>
          <cell r="H166">
            <v>6652</v>
          </cell>
          <cell r="I166">
            <v>6558</v>
          </cell>
          <cell r="J166">
            <v>10698</v>
          </cell>
          <cell r="O166">
            <v>4311</v>
          </cell>
          <cell r="P166">
            <v>5514</v>
          </cell>
          <cell r="AA166">
            <v>8189</v>
          </cell>
          <cell r="AB166">
            <v>6976</v>
          </cell>
          <cell r="DN166">
            <v>131662</v>
          </cell>
          <cell r="DO166">
            <v>166</v>
          </cell>
        </row>
        <row r="167">
          <cell r="A167" t="str">
            <v>Ithaca, NY Metro Area</v>
          </cell>
          <cell r="B167">
            <v>15607</v>
          </cell>
          <cell r="C167">
            <v>22116</v>
          </cell>
          <cell r="D167">
            <v>13015</v>
          </cell>
          <cell r="F167">
            <v>5189</v>
          </cell>
          <cell r="G167">
            <v>3479</v>
          </cell>
          <cell r="H167">
            <v>9781</v>
          </cell>
          <cell r="I167">
            <v>4950</v>
          </cell>
          <cell r="K167">
            <v>13845</v>
          </cell>
          <cell r="L167">
            <v>4000</v>
          </cell>
          <cell r="N167">
            <v>4506</v>
          </cell>
          <cell r="DN167">
            <v>96488</v>
          </cell>
          <cell r="DO167">
            <v>167</v>
          </cell>
        </row>
        <row r="168">
          <cell r="A168" t="str">
            <v>Jackson, MI Metro Area</v>
          </cell>
          <cell r="B168">
            <v>18583</v>
          </cell>
          <cell r="C168">
            <v>26308</v>
          </cell>
          <cell r="D168">
            <v>12969</v>
          </cell>
          <cell r="E168">
            <v>10632</v>
          </cell>
          <cell r="F168">
            <v>25009</v>
          </cell>
          <cell r="H168">
            <v>6304</v>
          </cell>
          <cell r="I168">
            <v>6947</v>
          </cell>
          <cell r="J168">
            <v>5257</v>
          </cell>
          <cell r="K168">
            <v>13977</v>
          </cell>
          <cell r="L168">
            <v>7377</v>
          </cell>
          <cell r="M168">
            <v>2793</v>
          </cell>
          <cell r="N168">
            <v>11231</v>
          </cell>
          <cell r="O168">
            <v>8270</v>
          </cell>
          <cell r="P168">
            <v>2769</v>
          </cell>
          <cell r="DN168">
            <v>158426</v>
          </cell>
          <cell r="DO168">
            <v>168</v>
          </cell>
        </row>
        <row r="169">
          <cell r="A169" t="str">
            <v>Jackson, MS Metro Area</v>
          </cell>
          <cell r="B169">
            <v>1660</v>
          </cell>
          <cell r="C169">
            <v>21727</v>
          </cell>
          <cell r="D169">
            <v>25955</v>
          </cell>
          <cell r="E169">
            <v>30082</v>
          </cell>
          <cell r="F169">
            <v>40814</v>
          </cell>
          <cell r="G169">
            <v>37776</v>
          </cell>
          <cell r="H169">
            <v>39880</v>
          </cell>
          <cell r="I169">
            <v>35787</v>
          </cell>
          <cell r="J169">
            <v>27095</v>
          </cell>
          <cell r="K169">
            <v>32619</v>
          </cell>
          <cell r="L169">
            <v>29441</v>
          </cell>
          <cell r="M169">
            <v>1668</v>
          </cell>
          <cell r="N169">
            <v>22590</v>
          </cell>
          <cell r="O169">
            <v>12100</v>
          </cell>
          <cell r="P169">
            <v>21165</v>
          </cell>
          <cell r="Q169">
            <v>6789</v>
          </cell>
          <cell r="S169">
            <v>5653</v>
          </cell>
          <cell r="T169">
            <v>4576</v>
          </cell>
          <cell r="U169">
            <v>2350</v>
          </cell>
          <cell r="W169">
            <v>4103</v>
          </cell>
          <cell r="X169">
            <v>11933</v>
          </cell>
          <cell r="Y169">
            <v>22484</v>
          </cell>
          <cell r="Z169">
            <v>8075</v>
          </cell>
          <cell r="AC169">
            <v>4165</v>
          </cell>
          <cell r="AD169">
            <v>9629</v>
          </cell>
          <cell r="AE169">
            <v>3524</v>
          </cell>
          <cell r="AH169">
            <v>5167</v>
          </cell>
          <cell r="AJ169">
            <v>5450</v>
          </cell>
          <cell r="AM169">
            <v>10018</v>
          </cell>
          <cell r="AN169">
            <v>5286</v>
          </cell>
          <cell r="AO169">
            <v>7707</v>
          </cell>
          <cell r="DN169">
            <v>497268</v>
          </cell>
          <cell r="DO169">
            <v>169</v>
          </cell>
        </row>
        <row r="170">
          <cell r="A170" t="str">
            <v>Jackson, TN Metro Area</v>
          </cell>
          <cell r="B170">
            <v>5634</v>
          </cell>
          <cell r="C170">
            <v>21831</v>
          </cell>
          <cell r="E170">
            <v>17855</v>
          </cell>
          <cell r="F170">
            <v>10077</v>
          </cell>
          <cell r="H170">
            <v>14805</v>
          </cell>
          <cell r="I170">
            <v>3327</v>
          </cell>
          <cell r="J170">
            <v>6196</v>
          </cell>
          <cell r="K170">
            <v>8525</v>
          </cell>
          <cell r="L170">
            <v>1784</v>
          </cell>
          <cell r="M170">
            <v>1869</v>
          </cell>
          <cell r="Q170">
            <v>5018</v>
          </cell>
          <cell r="R170">
            <v>5471</v>
          </cell>
          <cell r="U170">
            <v>5053</v>
          </cell>
          <cell r="DN170">
            <v>107445</v>
          </cell>
          <cell r="DO170">
            <v>170</v>
          </cell>
        </row>
        <row r="171">
          <cell r="A171" t="str">
            <v>Jacksonville, FL Metro Area</v>
          </cell>
          <cell r="B171">
            <v>7932</v>
          </cell>
          <cell r="C171">
            <v>30325</v>
          </cell>
          <cell r="D171">
            <v>37387</v>
          </cell>
          <cell r="E171">
            <v>65696</v>
          </cell>
          <cell r="F171">
            <v>64686</v>
          </cell>
          <cell r="G171">
            <v>66951</v>
          </cell>
          <cell r="H171">
            <v>75417</v>
          </cell>
          <cell r="I171">
            <v>42420</v>
          </cell>
          <cell r="J171">
            <v>50263</v>
          </cell>
          <cell r="K171">
            <v>94805</v>
          </cell>
          <cell r="L171">
            <v>45344</v>
          </cell>
          <cell r="M171">
            <v>75308</v>
          </cell>
          <cell r="N171">
            <v>70444</v>
          </cell>
          <cell r="O171">
            <v>22853</v>
          </cell>
          <cell r="P171">
            <v>26624</v>
          </cell>
          <cell r="Q171">
            <v>60862</v>
          </cell>
          <cell r="R171">
            <v>38678</v>
          </cell>
          <cell r="S171">
            <v>19789</v>
          </cell>
          <cell r="T171">
            <v>15458</v>
          </cell>
          <cell r="U171">
            <v>8250</v>
          </cell>
          <cell r="V171">
            <v>23374</v>
          </cell>
          <cell r="W171">
            <v>6340</v>
          </cell>
          <cell r="X171">
            <v>20533</v>
          </cell>
          <cell r="Y171">
            <v>4613</v>
          </cell>
          <cell r="Z171">
            <v>16915</v>
          </cell>
          <cell r="AA171">
            <v>11572</v>
          </cell>
          <cell r="AC171">
            <v>2961</v>
          </cell>
          <cell r="AD171">
            <v>7865</v>
          </cell>
          <cell r="AE171">
            <v>6763</v>
          </cell>
          <cell r="AF171">
            <v>10232</v>
          </cell>
          <cell r="AG171">
            <v>12359</v>
          </cell>
          <cell r="AH171">
            <v>430</v>
          </cell>
          <cell r="AK171">
            <v>9131</v>
          </cell>
          <cell r="AL171">
            <v>9223</v>
          </cell>
          <cell r="AM171">
            <v>10330</v>
          </cell>
          <cell r="AN171">
            <v>4674</v>
          </cell>
          <cell r="AO171">
            <v>6750</v>
          </cell>
          <cell r="AP171">
            <v>9238</v>
          </cell>
          <cell r="AQ171">
            <v>15121</v>
          </cell>
          <cell r="AR171">
            <v>1408</v>
          </cell>
          <cell r="AS171">
            <v>4641</v>
          </cell>
          <cell r="AT171">
            <v>3399</v>
          </cell>
          <cell r="AV171">
            <v>3827</v>
          </cell>
          <cell r="AW171">
            <v>998</v>
          </cell>
          <cell r="AX171">
            <v>646</v>
          </cell>
          <cell r="DN171">
            <v>1122835</v>
          </cell>
          <cell r="DO171">
            <v>171</v>
          </cell>
        </row>
        <row r="172">
          <cell r="A172" t="str">
            <v>Jacksonville, NC Metro Area</v>
          </cell>
          <cell r="B172">
            <v>1946</v>
          </cell>
          <cell r="C172">
            <v>9662</v>
          </cell>
          <cell r="D172">
            <v>21200</v>
          </cell>
          <cell r="E172">
            <v>21786</v>
          </cell>
          <cell r="F172">
            <v>20184</v>
          </cell>
          <cell r="G172">
            <v>9800</v>
          </cell>
          <cell r="I172">
            <v>19450</v>
          </cell>
          <cell r="J172">
            <v>5257</v>
          </cell>
          <cell r="K172">
            <v>8109</v>
          </cell>
          <cell r="L172">
            <v>4043</v>
          </cell>
          <cell r="M172">
            <v>1199</v>
          </cell>
          <cell r="O172">
            <v>13809</v>
          </cell>
          <cell r="P172">
            <v>3850</v>
          </cell>
          <cell r="Q172">
            <v>5666</v>
          </cell>
          <cell r="R172">
            <v>3320</v>
          </cell>
          <cell r="T172">
            <v>1129</v>
          </cell>
          <cell r="DN172">
            <v>150410</v>
          </cell>
          <cell r="DO172">
            <v>172</v>
          </cell>
        </row>
        <row r="173">
          <cell r="A173" t="str">
            <v>Janesville, WI Metro Area</v>
          </cell>
          <cell r="B173">
            <v>14463</v>
          </cell>
          <cell r="C173">
            <v>20328</v>
          </cell>
          <cell r="D173">
            <v>8804</v>
          </cell>
          <cell r="E173">
            <v>23268</v>
          </cell>
          <cell r="F173">
            <v>2987</v>
          </cell>
          <cell r="J173">
            <v>10282</v>
          </cell>
          <cell r="K173">
            <v>4612</v>
          </cell>
          <cell r="L173">
            <v>30595</v>
          </cell>
          <cell r="M173">
            <v>13650</v>
          </cell>
          <cell r="N173">
            <v>13878</v>
          </cell>
          <cell r="O173">
            <v>2581</v>
          </cell>
          <cell r="Q173">
            <v>6865</v>
          </cell>
          <cell r="DN173">
            <v>152313</v>
          </cell>
          <cell r="DO173">
            <v>173</v>
          </cell>
        </row>
        <row r="174">
          <cell r="A174" t="str">
            <v>Jefferson City, MO Metro Area</v>
          </cell>
          <cell r="B174">
            <v>9042</v>
          </cell>
          <cell r="C174">
            <v>3495</v>
          </cell>
          <cell r="D174">
            <v>22630</v>
          </cell>
          <cell r="F174">
            <v>3889</v>
          </cell>
          <cell r="G174">
            <v>11520</v>
          </cell>
          <cell r="H174">
            <v>16532</v>
          </cell>
          <cell r="J174">
            <v>3429</v>
          </cell>
          <cell r="L174">
            <v>4565</v>
          </cell>
          <cell r="O174">
            <v>6099</v>
          </cell>
          <cell r="P174">
            <v>8937</v>
          </cell>
          <cell r="Q174">
            <v>3542</v>
          </cell>
          <cell r="U174">
            <v>3790</v>
          </cell>
          <cell r="V174">
            <v>3887</v>
          </cell>
          <cell r="W174">
            <v>8214</v>
          </cell>
          <cell r="X174">
            <v>5632</v>
          </cell>
          <cell r="Y174">
            <v>7288</v>
          </cell>
          <cell r="Z174">
            <v>5560</v>
          </cell>
          <cell r="AB174">
            <v>3431</v>
          </cell>
          <cell r="AH174">
            <v>4743</v>
          </cell>
          <cell r="AI174">
            <v>3824</v>
          </cell>
          <cell r="DN174">
            <v>140049</v>
          </cell>
          <cell r="DO174">
            <v>174</v>
          </cell>
        </row>
        <row r="175">
          <cell r="A175" t="str">
            <v>Johnson City, TN Metro Area</v>
          </cell>
          <cell r="B175">
            <v>11308</v>
          </cell>
          <cell r="C175">
            <v>8433</v>
          </cell>
          <cell r="D175">
            <v>24361</v>
          </cell>
          <cell r="E175">
            <v>7179</v>
          </cell>
          <cell r="F175">
            <v>16102</v>
          </cell>
          <cell r="G175">
            <v>5397</v>
          </cell>
          <cell r="H175">
            <v>14831</v>
          </cell>
          <cell r="I175">
            <v>23984</v>
          </cell>
          <cell r="J175">
            <v>2269</v>
          </cell>
          <cell r="K175">
            <v>22744</v>
          </cell>
          <cell r="M175">
            <v>2323</v>
          </cell>
          <cell r="N175">
            <v>10197</v>
          </cell>
          <cell r="O175">
            <v>11422</v>
          </cell>
          <cell r="P175">
            <v>6973</v>
          </cell>
          <cell r="Q175">
            <v>6063</v>
          </cell>
          <cell r="T175">
            <v>5479</v>
          </cell>
          <cell r="V175">
            <v>2525</v>
          </cell>
          <cell r="DN175">
            <v>181590</v>
          </cell>
          <cell r="DO175">
            <v>175</v>
          </cell>
        </row>
        <row r="176">
          <cell r="A176" t="str">
            <v>Johnstown, PA Metro Area</v>
          </cell>
          <cell r="B176">
            <v>6210</v>
          </cell>
          <cell r="C176">
            <v>23201</v>
          </cell>
          <cell r="D176">
            <v>23694</v>
          </cell>
          <cell r="E176">
            <v>6972</v>
          </cell>
          <cell r="F176">
            <v>8763</v>
          </cell>
          <cell r="G176">
            <v>4689</v>
          </cell>
          <cell r="I176">
            <v>4904</v>
          </cell>
          <cell r="J176">
            <v>10673</v>
          </cell>
          <cell r="M176">
            <v>6009</v>
          </cell>
          <cell r="N176">
            <v>2712</v>
          </cell>
          <cell r="O176">
            <v>2817</v>
          </cell>
          <cell r="P176">
            <v>10169</v>
          </cell>
          <cell r="Q176">
            <v>3106</v>
          </cell>
          <cell r="S176">
            <v>2704</v>
          </cell>
          <cell r="U176">
            <v>6332</v>
          </cell>
          <cell r="V176">
            <v>3834</v>
          </cell>
          <cell r="W176">
            <v>4276</v>
          </cell>
          <cell r="Y176">
            <v>8406</v>
          </cell>
          <cell r="Z176">
            <v>4243</v>
          </cell>
          <cell r="AB176">
            <v>6414</v>
          </cell>
          <cell r="AJ176">
            <v>2436</v>
          </cell>
          <cell r="DN176">
            <v>152564</v>
          </cell>
          <cell r="DO176">
            <v>176</v>
          </cell>
        </row>
        <row r="177">
          <cell r="A177" t="str">
            <v>Jonesboro, AR Metro Area</v>
          </cell>
          <cell r="B177">
            <v>7548</v>
          </cell>
          <cell r="C177">
            <v>15826</v>
          </cell>
          <cell r="D177">
            <v>11505</v>
          </cell>
          <cell r="E177">
            <v>19317</v>
          </cell>
          <cell r="F177">
            <v>8093</v>
          </cell>
          <cell r="H177">
            <v>4208</v>
          </cell>
          <cell r="J177">
            <v>5698</v>
          </cell>
          <cell r="M177">
            <v>5406</v>
          </cell>
          <cell r="Q177">
            <v>3817</v>
          </cell>
          <cell r="R177">
            <v>3553</v>
          </cell>
          <cell r="T177">
            <v>8490</v>
          </cell>
          <cell r="V177">
            <v>4538</v>
          </cell>
          <cell r="W177">
            <v>1968</v>
          </cell>
          <cell r="AB177">
            <v>2812</v>
          </cell>
          <cell r="AC177">
            <v>4974</v>
          </cell>
          <cell r="DN177">
            <v>107753</v>
          </cell>
          <cell r="DO177">
            <v>177</v>
          </cell>
        </row>
        <row r="178">
          <cell r="A178" t="str">
            <v>Joplin, MO Metro Area</v>
          </cell>
          <cell r="B178">
            <v>4337</v>
          </cell>
          <cell r="C178">
            <v>23065</v>
          </cell>
          <cell r="D178">
            <v>9028</v>
          </cell>
          <cell r="E178">
            <v>25030</v>
          </cell>
          <cell r="G178">
            <v>11734</v>
          </cell>
          <cell r="H178">
            <v>4246</v>
          </cell>
          <cell r="I178">
            <v>11108</v>
          </cell>
          <cell r="L178">
            <v>4648</v>
          </cell>
          <cell r="M178">
            <v>4203</v>
          </cell>
          <cell r="N178">
            <v>17015</v>
          </cell>
          <cell r="O178">
            <v>6680</v>
          </cell>
          <cell r="R178">
            <v>2951</v>
          </cell>
          <cell r="S178">
            <v>12373</v>
          </cell>
          <cell r="T178">
            <v>10094</v>
          </cell>
          <cell r="U178">
            <v>7583</v>
          </cell>
          <cell r="AB178">
            <v>3208</v>
          </cell>
          <cell r="DN178">
            <v>157303</v>
          </cell>
          <cell r="DO178">
            <v>178</v>
          </cell>
        </row>
        <row r="179">
          <cell r="A179" t="str">
            <v>Kalamazoo-Portage, MI Metro Area</v>
          </cell>
          <cell r="B179">
            <v>13607</v>
          </cell>
          <cell r="C179">
            <v>32402</v>
          </cell>
          <cell r="D179">
            <v>53252</v>
          </cell>
          <cell r="E179">
            <v>13126</v>
          </cell>
          <cell r="F179">
            <v>20832</v>
          </cell>
          <cell r="G179">
            <v>34902</v>
          </cell>
          <cell r="H179">
            <v>5626</v>
          </cell>
          <cell r="I179">
            <v>28186</v>
          </cell>
          <cell r="J179">
            <v>11658</v>
          </cell>
          <cell r="L179">
            <v>2546</v>
          </cell>
          <cell r="M179">
            <v>7255</v>
          </cell>
          <cell r="N179">
            <v>13223</v>
          </cell>
          <cell r="O179">
            <v>10546</v>
          </cell>
          <cell r="P179">
            <v>8979</v>
          </cell>
          <cell r="R179">
            <v>6957</v>
          </cell>
          <cell r="S179">
            <v>7072</v>
          </cell>
          <cell r="V179">
            <v>6326</v>
          </cell>
          <cell r="AB179">
            <v>10857</v>
          </cell>
          <cell r="AD179">
            <v>6651</v>
          </cell>
          <cell r="AF179">
            <v>8641</v>
          </cell>
          <cell r="AJ179">
            <v>3611</v>
          </cell>
          <cell r="AK179">
            <v>8580</v>
          </cell>
          <cell r="DN179">
            <v>314835</v>
          </cell>
          <cell r="DO179">
            <v>179</v>
          </cell>
        </row>
        <row r="180">
          <cell r="A180" t="str">
            <v>Kankakee-Bradley, IL Metro Area</v>
          </cell>
          <cell r="B180">
            <v>15942</v>
          </cell>
          <cell r="C180">
            <v>17523</v>
          </cell>
          <cell r="D180">
            <v>12230</v>
          </cell>
          <cell r="E180">
            <v>10255</v>
          </cell>
          <cell r="F180">
            <v>13140</v>
          </cell>
          <cell r="G180">
            <v>2195</v>
          </cell>
          <cell r="I180">
            <v>4647</v>
          </cell>
          <cell r="K180">
            <v>14400</v>
          </cell>
          <cell r="O180">
            <v>9838</v>
          </cell>
          <cell r="P180">
            <v>3655</v>
          </cell>
          <cell r="DN180">
            <v>103825</v>
          </cell>
          <cell r="DO180">
            <v>180</v>
          </cell>
        </row>
        <row r="181">
          <cell r="A181" t="str">
            <v>Kansas City, MO-KS Metro Area</v>
          </cell>
          <cell r="B181">
            <v>10073</v>
          </cell>
          <cell r="C181">
            <v>21818</v>
          </cell>
          <cell r="D181">
            <v>50304</v>
          </cell>
          <cell r="E181">
            <v>88135</v>
          </cell>
          <cell r="F181">
            <v>63966</v>
          </cell>
          <cell r="G181">
            <v>57626</v>
          </cell>
          <cell r="H181">
            <v>85520</v>
          </cell>
          <cell r="I181">
            <v>111314</v>
          </cell>
          <cell r="J181">
            <v>82192</v>
          </cell>
          <cell r="K181">
            <v>108019</v>
          </cell>
          <cell r="L181">
            <v>137523</v>
          </cell>
          <cell r="M181">
            <v>95432</v>
          </cell>
          <cell r="N181">
            <v>70085</v>
          </cell>
          <cell r="O181">
            <v>82337</v>
          </cell>
          <cell r="P181">
            <v>68668</v>
          </cell>
          <cell r="Q181">
            <v>40267</v>
          </cell>
          <cell r="R181">
            <v>61355</v>
          </cell>
          <cell r="S181">
            <v>57787</v>
          </cell>
          <cell r="T181">
            <v>64584</v>
          </cell>
          <cell r="U181">
            <v>53006</v>
          </cell>
          <cell r="V181">
            <v>64178</v>
          </cell>
          <cell r="W181">
            <v>37864</v>
          </cell>
          <cell r="X181">
            <v>17869</v>
          </cell>
          <cell r="Y181">
            <v>24530</v>
          </cell>
          <cell r="Z181">
            <v>22014</v>
          </cell>
          <cell r="AA181">
            <v>25965</v>
          </cell>
          <cell r="AB181">
            <v>28828</v>
          </cell>
          <cell r="AC181">
            <v>7569</v>
          </cell>
          <cell r="AD181">
            <v>5254</v>
          </cell>
          <cell r="AE181">
            <v>7068</v>
          </cell>
          <cell r="AF181">
            <v>3798</v>
          </cell>
          <cell r="AG181">
            <v>12352</v>
          </cell>
          <cell r="AH181">
            <v>19261</v>
          </cell>
          <cell r="AI181">
            <v>9985</v>
          </cell>
          <cell r="AJ181">
            <v>22115</v>
          </cell>
          <cell r="AK181">
            <v>2833</v>
          </cell>
          <cell r="AL181">
            <v>4446</v>
          </cell>
          <cell r="AO181">
            <v>9290</v>
          </cell>
          <cell r="AP181">
            <v>9385</v>
          </cell>
          <cell r="AQ181">
            <v>1871</v>
          </cell>
          <cell r="AS181">
            <v>4168</v>
          </cell>
          <cell r="AT181">
            <v>3354</v>
          </cell>
          <cell r="AV181">
            <v>5963</v>
          </cell>
          <cell r="AW181">
            <v>17893</v>
          </cell>
          <cell r="AX181">
            <v>5870</v>
          </cell>
          <cell r="AY181">
            <v>2599</v>
          </cell>
          <cell r="AZ181">
            <v>4821</v>
          </cell>
          <cell r="BA181">
            <v>8808</v>
          </cell>
          <cell r="BB181">
            <v>4823</v>
          </cell>
          <cell r="BC181">
            <v>5809</v>
          </cell>
          <cell r="BD181">
            <v>3094</v>
          </cell>
          <cell r="BE181">
            <v>6434</v>
          </cell>
          <cell r="BF181">
            <v>4295</v>
          </cell>
          <cell r="BI181">
            <v>4561</v>
          </cell>
          <cell r="BQ181">
            <v>4628</v>
          </cell>
          <cell r="BS181">
            <v>2969</v>
          </cell>
          <cell r="DN181">
            <v>1836575</v>
          </cell>
          <cell r="DO181">
            <v>181</v>
          </cell>
        </row>
        <row r="182">
          <cell r="A182" t="str">
            <v>Kennewick-Pasco-Richland, WA Metro Area</v>
          </cell>
          <cell r="B182">
            <v>15592</v>
          </cell>
          <cell r="C182">
            <v>11164</v>
          </cell>
          <cell r="D182">
            <v>31485</v>
          </cell>
          <cell r="E182">
            <v>32855</v>
          </cell>
          <cell r="F182">
            <v>4871</v>
          </cell>
          <cell r="G182">
            <v>10457</v>
          </cell>
          <cell r="H182">
            <v>3272</v>
          </cell>
          <cell r="I182">
            <v>4434</v>
          </cell>
          <cell r="J182">
            <v>8757</v>
          </cell>
          <cell r="K182">
            <v>7754</v>
          </cell>
          <cell r="L182">
            <v>19385</v>
          </cell>
          <cell r="M182">
            <v>7761</v>
          </cell>
          <cell r="N182">
            <v>2525</v>
          </cell>
          <cell r="O182">
            <v>648</v>
          </cell>
          <cell r="P182">
            <v>2887</v>
          </cell>
          <cell r="R182">
            <v>1592</v>
          </cell>
          <cell r="U182">
            <v>6898</v>
          </cell>
          <cell r="W182">
            <v>3</v>
          </cell>
          <cell r="Y182">
            <v>830</v>
          </cell>
          <cell r="AF182">
            <v>5795</v>
          </cell>
          <cell r="AG182">
            <v>12888</v>
          </cell>
          <cell r="DN182">
            <v>191853</v>
          </cell>
          <cell r="DO182">
            <v>182</v>
          </cell>
        </row>
        <row r="183">
          <cell r="A183" t="str">
            <v>Killeen-Temple-Fort Hood, TX Metro Area</v>
          </cell>
          <cell r="B183">
            <v>14581</v>
          </cell>
          <cell r="C183">
            <v>28809</v>
          </cell>
          <cell r="D183">
            <v>40813</v>
          </cell>
          <cell r="E183">
            <v>22882</v>
          </cell>
          <cell r="F183">
            <v>12547</v>
          </cell>
          <cell r="G183">
            <v>9068</v>
          </cell>
          <cell r="H183">
            <v>12857</v>
          </cell>
          <cell r="I183">
            <v>0</v>
          </cell>
          <cell r="J183">
            <v>5217</v>
          </cell>
          <cell r="K183">
            <v>17254</v>
          </cell>
          <cell r="L183">
            <v>10542</v>
          </cell>
          <cell r="M183">
            <v>7229</v>
          </cell>
          <cell r="N183">
            <v>1625</v>
          </cell>
          <cell r="O183">
            <v>4859</v>
          </cell>
          <cell r="Q183">
            <v>9681</v>
          </cell>
          <cell r="R183">
            <v>12969</v>
          </cell>
          <cell r="S183">
            <v>8992</v>
          </cell>
          <cell r="T183">
            <v>5954</v>
          </cell>
          <cell r="V183">
            <v>17308</v>
          </cell>
          <cell r="W183">
            <v>13832</v>
          </cell>
          <cell r="X183">
            <v>16006</v>
          </cell>
          <cell r="Y183">
            <v>17014</v>
          </cell>
          <cell r="Z183">
            <v>20763</v>
          </cell>
          <cell r="AB183">
            <v>3966</v>
          </cell>
          <cell r="AC183">
            <v>8799</v>
          </cell>
          <cell r="AE183">
            <v>4622</v>
          </cell>
          <cell r="AI183">
            <v>2529</v>
          </cell>
          <cell r="DN183">
            <v>330718</v>
          </cell>
          <cell r="DO183">
            <v>183</v>
          </cell>
        </row>
        <row r="184">
          <cell r="A184" t="str">
            <v>Kingsport-Bristol-Bristol, TN-VA Metro Area</v>
          </cell>
          <cell r="B184">
            <v>6047</v>
          </cell>
          <cell r="C184">
            <v>16298</v>
          </cell>
          <cell r="D184">
            <v>15392</v>
          </cell>
          <cell r="E184">
            <v>2986</v>
          </cell>
          <cell r="F184">
            <v>21205</v>
          </cell>
          <cell r="G184">
            <v>17706</v>
          </cell>
          <cell r="H184">
            <v>14449</v>
          </cell>
          <cell r="I184">
            <v>12049</v>
          </cell>
          <cell r="K184">
            <v>7698</v>
          </cell>
          <cell r="L184">
            <v>6486</v>
          </cell>
          <cell r="N184">
            <v>3514</v>
          </cell>
          <cell r="O184">
            <v>8363</v>
          </cell>
          <cell r="P184">
            <v>13277</v>
          </cell>
          <cell r="R184">
            <v>7820</v>
          </cell>
          <cell r="S184">
            <v>6988</v>
          </cell>
          <cell r="T184">
            <v>14935</v>
          </cell>
          <cell r="U184">
            <v>5017</v>
          </cell>
          <cell r="V184">
            <v>11176</v>
          </cell>
          <cell r="W184">
            <v>12409</v>
          </cell>
          <cell r="X184">
            <v>13084</v>
          </cell>
          <cell r="Y184">
            <v>8538</v>
          </cell>
          <cell r="AA184">
            <v>3857</v>
          </cell>
          <cell r="AC184">
            <v>15602</v>
          </cell>
          <cell r="AD184">
            <v>7699</v>
          </cell>
          <cell r="AF184">
            <v>6427</v>
          </cell>
          <cell r="AG184">
            <v>2068</v>
          </cell>
          <cell r="AH184">
            <v>2832</v>
          </cell>
          <cell r="AI184">
            <v>5454</v>
          </cell>
          <cell r="AK184">
            <v>6831</v>
          </cell>
          <cell r="AN184">
            <v>3476</v>
          </cell>
          <cell r="AO184">
            <v>4259</v>
          </cell>
          <cell r="AP184">
            <v>4324</v>
          </cell>
          <cell r="AR184">
            <v>2791</v>
          </cell>
          <cell r="AV184">
            <v>7498</v>
          </cell>
          <cell r="DN184">
            <v>298555</v>
          </cell>
          <cell r="DO184">
            <v>184</v>
          </cell>
        </row>
        <row r="185">
          <cell r="A185" t="str">
            <v>Kingston, NY Metro Area</v>
          </cell>
          <cell r="B185">
            <v>14960</v>
          </cell>
          <cell r="C185">
            <v>13841</v>
          </cell>
          <cell r="D185">
            <v>3971</v>
          </cell>
          <cell r="F185">
            <v>11859</v>
          </cell>
          <cell r="G185">
            <v>8743</v>
          </cell>
          <cell r="I185">
            <v>1566</v>
          </cell>
          <cell r="J185">
            <v>9018</v>
          </cell>
          <cell r="K185">
            <v>13986</v>
          </cell>
          <cell r="L185">
            <v>3953</v>
          </cell>
          <cell r="N185">
            <v>7234</v>
          </cell>
          <cell r="O185">
            <v>23292</v>
          </cell>
          <cell r="P185">
            <v>6742</v>
          </cell>
          <cell r="R185">
            <v>5356</v>
          </cell>
          <cell r="T185">
            <v>10197</v>
          </cell>
          <cell r="V185">
            <v>11926</v>
          </cell>
          <cell r="W185">
            <v>3851</v>
          </cell>
          <cell r="X185">
            <v>5394</v>
          </cell>
          <cell r="Y185">
            <v>6027</v>
          </cell>
          <cell r="AA185">
            <v>12552</v>
          </cell>
          <cell r="AB185">
            <v>1280</v>
          </cell>
          <cell r="AD185">
            <v>1979</v>
          </cell>
          <cell r="DN185">
            <v>177727</v>
          </cell>
          <cell r="DO185">
            <v>185</v>
          </cell>
        </row>
        <row r="186">
          <cell r="A186" t="str">
            <v>Knoxville, TN Metro Area</v>
          </cell>
          <cell r="B186">
            <v>11736</v>
          </cell>
          <cell r="C186">
            <v>24761</v>
          </cell>
          <cell r="D186">
            <v>30721</v>
          </cell>
          <cell r="E186">
            <v>28429</v>
          </cell>
          <cell r="F186">
            <v>32079</v>
          </cell>
          <cell r="G186">
            <v>27645</v>
          </cell>
          <cell r="H186">
            <v>38531</v>
          </cell>
          <cell r="I186">
            <v>33648</v>
          </cell>
          <cell r="J186">
            <v>25919</v>
          </cell>
          <cell r="K186">
            <v>50732</v>
          </cell>
          <cell r="L186">
            <v>21120</v>
          </cell>
          <cell r="M186">
            <v>15301</v>
          </cell>
          <cell r="N186">
            <v>47153</v>
          </cell>
          <cell r="O186">
            <v>17607</v>
          </cell>
          <cell r="P186">
            <v>20872</v>
          </cell>
          <cell r="Q186">
            <v>30385</v>
          </cell>
          <cell r="R186">
            <v>16686</v>
          </cell>
          <cell r="S186">
            <v>35175</v>
          </cell>
          <cell r="T186">
            <v>7626</v>
          </cell>
          <cell r="U186">
            <v>24650</v>
          </cell>
          <cell r="V186">
            <v>21456</v>
          </cell>
          <cell r="W186">
            <v>11177</v>
          </cell>
          <cell r="X186">
            <v>4559</v>
          </cell>
          <cell r="Y186">
            <v>10558</v>
          </cell>
          <cell r="Z186">
            <v>5649</v>
          </cell>
          <cell r="AA186">
            <v>5949</v>
          </cell>
          <cell r="AB186">
            <v>5820</v>
          </cell>
          <cell r="AC186">
            <v>2058</v>
          </cell>
          <cell r="AE186">
            <v>3776</v>
          </cell>
          <cell r="AF186">
            <v>2082</v>
          </cell>
          <cell r="AK186">
            <v>2258</v>
          </cell>
          <cell r="DN186">
            <v>616118</v>
          </cell>
          <cell r="DO186">
            <v>186</v>
          </cell>
        </row>
        <row r="187">
          <cell r="A187" t="str">
            <v>Kokomo, IN Metro Area</v>
          </cell>
          <cell r="B187">
            <v>13120</v>
          </cell>
          <cell r="C187">
            <v>24023</v>
          </cell>
          <cell r="D187">
            <v>13614</v>
          </cell>
          <cell r="E187">
            <v>11344</v>
          </cell>
          <cell r="F187">
            <v>7600</v>
          </cell>
          <cell r="H187">
            <v>4638</v>
          </cell>
          <cell r="I187">
            <v>3802</v>
          </cell>
          <cell r="J187">
            <v>3863</v>
          </cell>
          <cell r="K187">
            <v>6759</v>
          </cell>
          <cell r="P187">
            <v>6978</v>
          </cell>
          <cell r="Q187">
            <v>5821</v>
          </cell>
          <cell r="DN187">
            <v>101562</v>
          </cell>
          <cell r="DO187">
            <v>187</v>
          </cell>
        </row>
        <row r="188">
          <cell r="A188" t="str">
            <v>La Crosse, WI-MN Metro Area</v>
          </cell>
          <cell r="B188">
            <v>12287</v>
          </cell>
          <cell r="C188">
            <v>22970</v>
          </cell>
          <cell r="D188">
            <v>7286</v>
          </cell>
          <cell r="E188">
            <v>18803</v>
          </cell>
          <cell r="F188">
            <v>12853</v>
          </cell>
          <cell r="G188">
            <v>7929</v>
          </cell>
          <cell r="H188">
            <v>4267</v>
          </cell>
          <cell r="I188">
            <v>3824</v>
          </cell>
          <cell r="J188">
            <v>1804</v>
          </cell>
          <cell r="K188">
            <v>7718</v>
          </cell>
          <cell r="L188">
            <v>11916</v>
          </cell>
          <cell r="P188">
            <v>5156</v>
          </cell>
          <cell r="S188">
            <v>5982</v>
          </cell>
          <cell r="X188">
            <v>4086</v>
          </cell>
          <cell r="DN188">
            <v>126881</v>
          </cell>
          <cell r="DO188">
            <v>188</v>
          </cell>
        </row>
        <row r="189">
          <cell r="A189" t="str">
            <v>Lafayette, IN Metro Area</v>
          </cell>
          <cell r="B189">
            <v>21479</v>
          </cell>
          <cell r="C189">
            <v>36223</v>
          </cell>
          <cell r="D189">
            <v>28574</v>
          </cell>
          <cell r="E189">
            <v>23806</v>
          </cell>
          <cell r="F189">
            <v>10011</v>
          </cell>
          <cell r="G189">
            <v>6900</v>
          </cell>
          <cell r="H189">
            <v>9698</v>
          </cell>
          <cell r="I189">
            <v>5452</v>
          </cell>
          <cell r="J189">
            <v>3025</v>
          </cell>
          <cell r="L189">
            <v>3785</v>
          </cell>
          <cell r="Q189">
            <v>3335</v>
          </cell>
          <cell r="R189">
            <v>3428</v>
          </cell>
          <cell r="S189">
            <v>3533</v>
          </cell>
          <cell r="T189">
            <v>2555</v>
          </cell>
          <cell r="U189">
            <v>2434</v>
          </cell>
          <cell r="W189">
            <v>2967</v>
          </cell>
          <cell r="Z189">
            <v>5452</v>
          </cell>
          <cell r="AB189">
            <v>3251</v>
          </cell>
          <cell r="AF189">
            <v>2642</v>
          </cell>
          <cell r="DN189">
            <v>178550</v>
          </cell>
          <cell r="DO189">
            <v>189</v>
          </cell>
        </row>
        <row r="190">
          <cell r="A190" t="str">
            <v>Lafayette, LA Metro Area</v>
          </cell>
          <cell r="B190">
            <v>11392</v>
          </cell>
          <cell r="C190">
            <v>31154</v>
          </cell>
          <cell r="D190">
            <v>22217</v>
          </cell>
          <cell r="E190">
            <v>26680</v>
          </cell>
          <cell r="F190">
            <v>28331</v>
          </cell>
          <cell r="G190">
            <v>15335</v>
          </cell>
          <cell r="H190">
            <v>16459</v>
          </cell>
          <cell r="I190">
            <v>29129</v>
          </cell>
          <cell r="J190">
            <v>14237</v>
          </cell>
          <cell r="K190">
            <v>7536</v>
          </cell>
          <cell r="M190">
            <v>11905</v>
          </cell>
          <cell r="N190">
            <v>12669</v>
          </cell>
          <cell r="O190">
            <v>2039</v>
          </cell>
          <cell r="P190">
            <v>3186</v>
          </cell>
          <cell r="R190">
            <v>4961</v>
          </cell>
          <cell r="BH190">
            <v>1544</v>
          </cell>
          <cell r="DN190">
            <v>238774</v>
          </cell>
          <cell r="DO190">
            <v>190</v>
          </cell>
        </row>
        <row r="191">
          <cell r="A191" t="str">
            <v>Lake Charles, LA Metro Area</v>
          </cell>
          <cell r="B191">
            <v>5789</v>
          </cell>
          <cell r="C191">
            <v>21339</v>
          </cell>
          <cell r="D191">
            <v>14356</v>
          </cell>
          <cell r="E191">
            <v>30545</v>
          </cell>
          <cell r="F191">
            <v>15292</v>
          </cell>
          <cell r="G191">
            <v>7091</v>
          </cell>
          <cell r="H191">
            <v>21451</v>
          </cell>
          <cell r="I191">
            <v>5194</v>
          </cell>
          <cell r="J191">
            <v>11354</v>
          </cell>
          <cell r="K191">
            <v>28603</v>
          </cell>
          <cell r="M191">
            <v>2518</v>
          </cell>
          <cell r="N191">
            <v>2683</v>
          </cell>
          <cell r="O191">
            <v>3454</v>
          </cell>
          <cell r="T191">
            <v>5426</v>
          </cell>
          <cell r="V191">
            <v>5994</v>
          </cell>
          <cell r="W191">
            <v>3503</v>
          </cell>
          <cell r="Z191">
            <v>4539</v>
          </cell>
          <cell r="AA191">
            <v>4439</v>
          </cell>
          <cell r="DN191">
            <v>193570</v>
          </cell>
          <cell r="DO191">
            <v>191</v>
          </cell>
        </row>
        <row r="192">
          <cell r="A192" t="str">
            <v>Lake Havasu City-Kingman, AZ Metro Area</v>
          </cell>
          <cell r="B192">
            <v>11745</v>
          </cell>
          <cell r="C192">
            <v>6652</v>
          </cell>
          <cell r="D192">
            <v>15797</v>
          </cell>
          <cell r="E192">
            <v>8120</v>
          </cell>
          <cell r="G192">
            <v>2291</v>
          </cell>
          <cell r="AE192">
            <v>4890</v>
          </cell>
          <cell r="AK192">
            <v>2473</v>
          </cell>
          <cell r="AL192">
            <v>4895</v>
          </cell>
          <cell r="AP192">
            <v>2186</v>
          </cell>
          <cell r="AQ192">
            <v>3015</v>
          </cell>
          <cell r="AR192">
            <v>4996</v>
          </cell>
          <cell r="AT192">
            <v>6355</v>
          </cell>
          <cell r="AV192">
            <v>16454</v>
          </cell>
          <cell r="AW192">
            <v>6707</v>
          </cell>
          <cell r="AZ192">
            <v>2890</v>
          </cell>
          <cell r="BA192">
            <v>2897</v>
          </cell>
          <cell r="BB192">
            <v>6452</v>
          </cell>
          <cell r="BC192">
            <v>11172</v>
          </cell>
          <cell r="BD192">
            <v>7623</v>
          </cell>
          <cell r="BF192">
            <v>7375</v>
          </cell>
          <cell r="BG192">
            <v>3638</v>
          </cell>
          <cell r="BH192">
            <v>4264</v>
          </cell>
          <cell r="CB192">
            <v>1979</v>
          </cell>
          <cell r="CF192">
            <v>2565</v>
          </cell>
          <cell r="CL192">
            <v>1323</v>
          </cell>
          <cell r="DK192">
            <v>6221</v>
          </cell>
          <cell r="DN192">
            <v>154975</v>
          </cell>
          <cell r="DO192">
            <v>192</v>
          </cell>
        </row>
        <row r="193">
          <cell r="A193" t="str">
            <v>Lakeland-Winter Haven, FL Metro Area</v>
          </cell>
          <cell r="B193">
            <v>8950</v>
          </cell>
          <cell r="C193">
            <v>23116</v>
          </cell>
          <cell r="D193">
            <v>41845</v>
          </cell>
          <cell r="E193">
            <v>12806</v>
          </cell>
          <cell r="F193">
            <v>34595</v>
          </cell>
          <cell r="G193">
            <v>26393</v>
          </cell>
          <cell r="H193">
            <v>21810</v>
          </cell>
          <cell r="I193">
            <v>26246</v>
          </cell>
          <cell r="J193">
            <v>13117</v>
          </cell>
          <cell r="K193">
            <v>18714</v>
          </cell>
          <cell r="L193">
            <v>20725</v>
          </cell>
          <cell r="M193">
            <v>25235</v>
          </cell>
          <cell r="N193">
            <v>17365</v>
          </cell>
          <cell r="O193">
            <v>12966</v>
          </cell>
          <cell r="P193">
            <v>17404</v>
          </cell>
          <cell r="Q193">
            <v>25009</v>
          </cell>
          <cell r="R193">
            <v>4692</v>
          </cell>
          <cell r="S193">
            <v>16399</v>
          </cell>
          <cell r="T193">
            <v>3791</v>
          </cell>
          <cell r="U193">
            <v>6990</v>
          </cell>
          <cell r="V193">
            <v>16207</v>
          </cell>
          <cell r="W193">
            <v>13715</v>
          </cell>
          <cell r="X193">
            <v>1842</v>
          </cell>
          <cell r="Y193">
            <v>12515</v>
          </cell>
          <cell r="Z193">
            <v>18024</v>
          </cell>
          <cell r="AA193">
            <v>5512</v>
          </cell>
          <cell r="AB193">
            <v>7653</v>
          </cell>
          <cell r="AC193">
            <v>5217</v>
          </cell>
          <cell r="AE193">
            <v>5415</v>
          </cell>
          <cell r="AF193">
            <v>2927</v>
          </cell>
          <cell r="AG193">
            <v>3329</v>
          </cell>
          <cell r="AH193">
            <v>3875</v>
          </cell>
          <cell r="AJ193">
            <v>3080</v>
          </cell>
          <cell r="AL193">
            <v>2452</v>
          </cell>
          <cell r="AP193">
            <v>3956</v>
          </cell>
          <cell r="DN193">
            <v>483887</v>
          </cell>
          <cell r="DO193">
            <v>193</v>
          </cell>
        </row>
        <row r="194">
          <cell r="A194" t="str">
            <v>Lancaster, PA Metro Area</v>
          </cell>
          <cell r="B194">
            <v>49292</v>
          </cell>
          <cell r="C194">
            <v>21193</v>
          </cell>
          <cell r="D194">
            <v>27764</v>
          </cell>
          <cell r="E194">
            <v>30204</v>
          </cell>
          <cell r="F194">
            <v>25759</v>
          </cell>
          <cell r="G194">
            <v>24148</v>
          </cell>
          <cell r="H194">
            <v>12343</v>
          </cell>
          <cell r="I194">
            <v>37674</v>
          </cell>
          <cell r="J194">
            <v>15005</v>
          </cell>
          <cell r="K194">
            <v>25010</v>
          </cell>
          <cell r="L194">
            <v>26686</v>
          </cell>
          <cell r="M194">
            <v>22459</v>
          </cell>
          <cell r="N194">
            <v>39415</v>
          </cell>
          <cell r="O194">
            <v>15929</v>
          </cell>
          <cell r="Q194">
            <v>23662</v>
          </cell>
          <cell r="R194">
            <v>11306</v>
          </cell>
          <cell r="S194">
            <v>36941</v>
          </cell>
          <cell r="T194">
            <v>11827</v>
          </cell>
          <cell r="U194">
            <v>11155</v>
          </cell>
          <cell r="V194">
            <v>3010</v>
          </cell>
          <cell r="DN194">
            <v>470782</v>
          </cell>
          <cell r="DO194">
            <v>194</v>
          </cell>
        </row>
        <row r="195">
          <cell r="A195" t="str">
            <v>Lansing-East Lansing, MI Metro Area</v>
          </cell>
          <cell r="B195">
            <v>11647</v>
          </cell>
          <cell r="C195">
            <v>38973</v>
          </cell>
          <cell r="D195">
            <v>48706</v>
          </cell>
          <cell r="E195">
            <v>46629</v>
          </cell>
          <cell r="F195">
            <v>53667</v>
          </cell>
          <cell r="G195">
            <v>24171</v>
          </cell>
          <cell r="H195">
            <v>28179</v>
          </cell>
          <cell r="I195">
            <v>33427</v>
          </cell>
          <cell r="J195">
            <v>19080</v>
          </cell>
          <cell r="K195">
            <v>5938</v>
          </cell>
          <cell r="L195">
            <v>3736</v>
          </cell>
          <cell r="M195">
            <v>13158</v>
          </cell>
          <cell r="N195">
            <v>10068</v>
          </cell>
          <cell r="O195">
            <v>11455</v>
          </cell>
          <cell r="P195">
            <v>8281</v>
          </cell>
          <cell r="Q195">
            <v>6302</v>
          </cell>
          <cell r="R195">
            <v>8254</v>
          </cell>
          <cell r="S195">
            <v>6294</v>
          </cell>
          <cell r="T195">
            <v>26351</v>
          </cell>
          <cell r="U195">
            <v>11261</v>
          </cell>
          <cell r="V195">
            <v>4353</v>
          </cell>
          <cell r="X195">
            <v>3226</v>
          </cell>
          <cell r="Y195">
            <v>6396</v>
          </cell>
          <cell r="Z195">
            <v>5206</v>
          </cell>
          <cell r="AA195">
            <v>8187</v>
          </cell>
          <cell r="AD195">
            <v>4899</v>
          </cell>
          <cell r="DN195">
            <v>447844</v>
          </cell>
          <cell r="DO195">
            <v>195</v>
          </cell>
        </row>
        <row r="196">
          <cell r="A196" t="str">
            <v>Laredo, TX Metro Area</v>
          </cell>
          <cell r="B196">
            <v>15417</v>
          </cell>
          <cell r="C196">
            <v>34293</v>
          </cell>
          <cell r="D196">
            <v>42683</v>
          </cell>
          <cell r="E196">
            <v>28258</v>
          </cell>
          <cell r="F196">
            <v>29209</v>
          </cell>
          <cell r="G196">
            <v>18035</v>
          </cell>
          <cell r="H196">
            <v>9942</v>
          </cell>
          <cell r="I196">
            <v>2219</v>
          </cell>
          <cell r="K196">
            <v>5609</v>
          </cell>
          <cell r="N196">
            <v>3581</v>
          </cell>
          <cell r="P196">
            <v>1216</v>
          </cell>
          <cell r="W196">
            <v>1297</v>
          </cell>
          <cell r="Z196">
            <v>1365</v>
          </cell>
          <cell r="DN196">
            <v>193124</v>
          </cell>
          <cell r="DO196">
            <v>196</v>
          </cell>
        </row>
        <row r="197">
          <cell r="A197" t="str">
            <v>Las Cruces, NM Metro Area</v>
          </cell>
          <cell r="B197">
            <v>8807</v>
          </cell>
          <cell r="C197">
            <v>29745</v>
          </cell>
          <cell r="D197">
            <v>30182</v>
          </cell>
          <cell r="E197">
            <v>9200</v>
          </cell>
          <cell r="F197">
            <v>18133</v>
          </cell>
          <cell r="G197">
            <v>8026</v>
          </cell>
          <cell r="I197">
            <v>4384</v>
          </cell>
          <cell r="J197">
            <v>5217</v>
          </cell>
          <cell r="M197">
            <v>4246</v>
          </cell>
          <cell r="N197">
            <v>9206</v>
          </cell>
          <cell r="S197">
            <v>1357</v>
          </cell>
          <cell r="U197">
            <v>5876</v>
          </cell>
          <cell r="V197">
            <v>1879</v>
          </cell>
          <cell r="Y197">
            <v>8451</v>
          </cell>
          <cell r="AB197">
            <v>2602</v>
          </cell>
          <cell r="AD197">
            <v>6135</v>
          </cell>
          <cell r="AH197">
            <v>3242</v>
          </cell>
          <cell r="AJ197">
            <v>5643</v>
          </cell>
          <cell r="AL197">
            <v>8394</v>
          </cell>
          <cell r="AM197">
            <v>4161</v>
          </cell>
          <cell r="DN197">
            <v>174886</v>
          </cell>
          <cell r="DO197">
            <v>197</v>
          </cell>
        </row>
        <row r="198">
          <cell r="A198" t="str">
            <v>Las Vegas-Paradise, NV Metro Area</v>
          </cell>
          <cell r="B198">
            <v>21359</v>
          </cell>
          <cell r="C198">
            <v>65364</v>
          </cell>
          <cell r="D198">
            <v>114603</v>
          </cell>
          <cell r="E198">
            <v>127905</v>
          </cell>
          <cell r="F198">
            <v>162811</v>
          </cell>
          <cell r="G198">
            <v>177268</v>
          </cell>
          <cell r="H198">
            <v>135518</v>
          </cell>
          <cell r="I198">
            <v>124914</v>
          </cell>
          <cell r="J198">
            <v>89787</v>
          </cell>
          <cell r="K198">
            <v>119004</v>
          </cell>
          <cell r="L198">
            <v>79544</v>
          </cell>
          <cell r="M198">
            <v>34848</v>
          </cell>
          <cell r="N198">
            <v>19864</v>
          </cell>
          <cell r="O198">
            <v>24196</v>
          </cell>
          <cell r="P198">
            <v>15307</v>
          </cell>
          <cell r="Q198">
            <v>6779</v>
          </cell>
          <cell r="R198">
            <v>6801</v>
          </cell>
          <cell r="W198">
            <v>7411</v>
          </cell>
          <cell r="X198">
            <v>9812</v>
          </cell>
          <cell r="AC198">
            <v>1217</v>
          </cell>
          <cell r="AP198">
            <v>3016</v>
          </cell>
          <cell r="AS198">
            <v>1522</v>
          </cell>
          <cell r="AU198">
            <v>4166</v>
          </cell>
          <cell r="AV198">
            <v>1530</v>
          </cell>
          <cell r="AW198">
            <v>2698</v>
          </cell>
          <cell r="BO198">
            <v>3576</v>
          </cell>
          <cell r="BU198">
            <v>519</v>
          </cell>
          <cell r="BV198">
            <v>1569</v>
          </cell>
          <cell r="BW198">
            <v>3374</v>
          </cell>
          <cell r="BX198">
            <v>751</v>
          </cell>
          <cell r="BY198">
            <v>1627</v>
          </cell>
          <cell r="CA198">
            <v>7077</v>
          </cell>
          <cell r="DN198">
            <v>1375737</v>
          </cell>
          <cell r="DO198">
            <v>198</v>
          </cell>
        </row>
        <row r="199">
          <cell r="A199" t="str">
            <v>Lawrence, KS Metro Area</v>
          </cell>
          <cell r="B199">
            <v>18861</v>
          </cell>
          <cell r="C199">
            <v>16797</v>
          </cell>
          <cell r="D199">
            <v>20395</v>
          </cell>
          <cell r="E199">
            <v>24446</v>
          </cell>
          <cell r="H199">
            <v>4004</v>
          </cell>
          <cell r="I199">
            <v>5446</v>
          </cell>
          <cell r="K199">
            <v>4560</v>
          </cell>
          <cell r="O199">
            <v>5444</v>
          </cell>
          <cell r="DN199">
            <v>99953</v>
          </cell>
          <cell r="DO199">
            <v>199</v>
          </cell>
        </row>
        <row r="200">
          <cell r="A200" t="str">
            <v>Lawton, OK Metro Area</v>
          </cell>
          <cell r="B200">
            <v>6811</v>
          </cell>
          <cell r="C200">
            <v>14560</v>
          </cell>
          <cell r="D200">
            <v>13528</v>
          </cell>
          <cell r="E200">
            <v>36143</v>
          </cell>
          <cell r="F200">
            <v>14242</v>
          </cell>
          <cell r="G200">
            <v>8861</v>
          </cell>
          <cell r="J200">
            <v>4369</v>
          </cell>
          <cell r="K200">
            <v>1610</v>
          </cell>
          <cell r="M200">
            <v>5072</v>
          </cell>
          <cell r="Q200">
            <v>9800</v>
          </cell>
          <cell r="DN200">
            <v>114996</v>
          </cell>
          <cell r="DO200">
            <v>200</v>
          </cell>
        </row>
        <row r="201">
          <cell r="A201" t="str">
            <v>Lebanon, PA Metro Area</v>
          </cell>
          <cell r="B201">
            <v>16016</v>
          </cell>
          <cell r="C201">
            <v>21213</v>
          </cell>
          <cell r="D201">
            <v>15545</v>
          </cell>
          <cell r="F201">
            <v>10167</v>
          </cell>
          <cell r="G201">
            <v>2892</v>
          </cell>
          <cell r="H201">
            <v>16910</v>
          </cell>
          <cell r="I201">
            <v>8293</v>
          </cell>
          <cell r="J201">
            <v>14845</v>
          </cell>
          <cell r="K201">
            <v>9983</v>
          </cell>
          <cell r="L201">
            <v>4420</v>
          </cell>
          <cell r="DN201">
            <v>120284</v>
          </cell>
          <cell r="DO201">
            <v>201</v>
          </cell>
        </row>
        <row r="202">
          <cell r="A202" t="str">
            <v>Lewiston, ID-WA Metro Area</v>
          </cell>
          <cell r="B202">
            <v>7764</v>
          </cell>
          <cell r="C202">
            <v>15373</v>
          </cell>
          <cell r="D202">
            <v>5183</v>
          </cell>
          <cell r="E202">
            <v>16018</v>
          </cell>
          <cell r="F202">
            <v>5084</v>
          </cell>
          <cell r="I202">
            <v>3765</v>
          </cell>
          <cell r="P202">
            <v>4406</v>
          </cell>
          <cell r="Y202">
            <v>378</v>
          </cell>
          <cell r="DN202">
            <v>57971</v>
          </cell>
          <cell r="DO202">
            <v>202</v>
          </cell>
        </row>
        <row r="203">
          <cell r="A203" t="str">
            <v>Lewiston-Auburn, ME Metro Area</v>
          </cell>
          <cell r="B203">
            <v>19212</v>
          </cell>
          <cell r="C203">
            <v>15104</v>
          </cell>
          <cell r="D203">
            <v>11553</v>
          </cell>
          <cell r="E203">
            <v>13063</v>
          </cell>
          <cell r="I203">
            <v>19666</v>
          </cell>
          <cell r="J203">
            <v>4856</v>
          </cell>
          <cell r="K203">
            <v>4692</v>
          </cell>
          <cell r="L203">
            <v>3390</v>
          </cell>
          <cell r="N203">
            <v>4964</v>
          </cell>
          <cell r="O203">
            <v>1992</v>
          </cell>
          <cell r="W203">
            <v>2104</v>
          </cell>
          <cell r="Z203">
            <v>3216</v>
          </cell>
          <cell r="DN203">
            <v>103812</v>
          </cell>
          <cell r="DO203">
            <v>203</v>
          </cell>
        </row>
        <row r="204">
          <cell r="A204" t="str">
            <v>Lexington-Fayette, KY Metro Area</v>
          </cell>
          <cell r="B204">
            <v>17887</v>
          </cell>
          <cell r="C204">
            <v>42423</v>
          </cell>
          <cell r="D204">
            <v>46069</v>
          </cell>
          <cell r="E204">
            <v>46558</v>
          </cell>
          <cell r="F204">
            <v>51561</v>
          </cell>
          <cell r="G204">
            <v>37112</v>
          </cell>
          <cell r="H204">
            <v>12488</v>
          </cell>
          <cell r="I204">
            <v>4766</v>
          </cell>
          <cell r="K204">
            <v>9621</v>
          </cell>
          <cell r="L204">
            <v>1661</v>
          </cell>
          <cell r="M204">
            <v>27972</v>
          </cell>
          <cell r="N204">
            <v>22416</v>
          </cell>
          <cell r="O204">
            <v>13235</v>
          </cell>
          <cell r="P204">
            <v>10758</v>
          </cell>
          <cell r="Q204">
            <v>9827</v>
          </cell>
          <cell r="R204">
            <v>18372</v>
          </cell>
          <cell r="S204">
            <v>11230</v>
          </cell>
          <cell r="T204">
            <v>7141</v>
          </cell>
          <cell r="V204">
            <v>7603</v>
          </cell>
          <cell r="X204">
            <v>2154</v>
          </cell>
          <cell r="Y204">
            <v>2063</v>
          </cell>
          <cell r="Z204">
            <v>5478</v>
          </cell>
          <cell r="DN204">
            <v>408395</v>
          </cell>
          <cell r="DO204">
            <v>204</v>
          </cell>
        </row>
        <row r="205">
          <cell r="A205" t="str">
            <v>Lima, OH Metro Area</v>
          </cell>
          <cell r="B205">
            <v>15386</v>
          </cell>
          <cell r="C205">
            <v>22370</v>
          </cell>
          <cell r="D205">
            <v>16809</v>
          </cell>
          <cell r="E205">
            <v>7400</v>
          </cell>
          <cell r="F205">
            <v>15685</v>
          </cell>
          <cell r="G205">
            <v>3283</v>
          </cell>
          <cell r="H205">
            <v>1727</v>
          </cell>
          <cell r="J205">
            <v>2926</v>
          </cell>
          <cell r="K205">
            <v>6953</v>
          </cell>
          <cell r="M205">
            <v>5001</v>
          </cell>
          <cell r="N205">
            <v>6764</v>
          </cell>
          <cell r="Q205">
            <v>4168</v>
          </cell>
          <cell r="DN205">
            <v>108472</v>
          </cell>
          <cell r="DO205">
            <v>205</v>
          </cell>
        </row>
        <row r="206">
          <cell r="A206" t="str">
            <v>Lincoln, NE Metro Area</v>
          </cell>
          <cell r="B206">
            <v>14021</v>
          </cell>
          <cell r="C206">
            <v>45680</v>
          </cell>
          <cell r="D206">
            <v>45612</v>
          </cell>
          <cell r="E206">
            <v>47422</v>
          </cell>
          <cell r="F206">
            <v>44351</v>
          </cell>
          <cell r="G206">
            <v>29568</v>
          </cell>
          <cell r="H206">
            <v>3364</v>
          </cell>
          <cell r="I206">
            <v>2012</v>
          </cell>
          <cell r="K206">
            <v>3842</v>
          </cell>
          <cell r="M206">
            <v>8217</v>
          </cell>
          <cell r="O206">
            <v>6218</v>
          </cell>
          <cell r="V206">
            <v>5113</v>
          </cell>
          <cell r="W206">
            <v>6892</v>
          </cell>
          <cell r="Z206">
            <v>4486</v>
          </cell>
          <cell r="DN206">
            <v>266798</v>
          </cell>
          <cell r="DO206">
            <v>206</v>
          </cell>
        </row>
        <row r="207">
          <cell r="A207" t="str">
            <v>Little Rock-North Little Rock-Conway, AR Metro Area</v>
          </cell>
          <cell r="B207">
            <v>2325</v>
          </cell>
          <cell r="C207">
            <v>23382</v>
          </cell>
          <cell r="D207">
            <v>28947</v>
          </cell>
          <cell r="E207">
            <v>45807</v>
          </cell>
          <cell r="F207">
            <v>26043</v>
          </cell>
          <cell r="G207">
            <v>27679</v>
          </cell>
          <cell r="H207">
            <v>47484</v>
          </cell>
          <cell r="I207">
            <v>21212</v>
          </cell>
          <cell r="J207">
            <v>30830</v>
          </cell>
          <cell r="K207">
            <v>30131</v>
          </cell>
          <cell r="L207">
            <v>17421</v>
          </cell>
          <cell r="M207">
            <v>32057</v>
          </cell>
          <cell r="N207">
            <v>13658</v>
          </cell>
          <cell r="O207">
            <v>8720</v>
          </cell>
          <cell r="P207">
            <v>11540</v>
          </cell>
          <cell r="Q207">
            <v>18068</v>
          </cell>
          <cell r="R207">
            <v>7915</v>
          </cell>
          <cell r="S207">
            <v>7102</v>
          </cell>
          <cell r="T207">
            <v>19474</v>
          </cell>
          <cell r="U207">
            <v>11843</v>
          </cell>
          <cell r="V207">
            <v>22390</v>
          </cell>
          <cell r="W207">
            <v>5768</v>
          </cell>
          <cell r="X207">
            <v>34734</v>
          </cell>
          <cell r="Y207">
            <v>4066</v>
          </cell>
          <cell r="Z207">
            <v>15985</v>
          </cell>
          <cell r="AA207">
            <v>19729</v>
          </cell>
          <cell r="AB207">
            <v>8260</v>
          </cell>
          <cell r="AC207">
            <v>6818</v>
          </cell>
          <cell r="AD207">
            <v>13562</v>
          </cell>
          <cell r="AE207">
            <v>7526</v>
          </cell>
          <cell r="AF207">
            <v>1446</v>
          </cell>
          <cell r="AG207">
            <v>2427</v>
          </cell>
          <cell r="AH207">
            <v>9031</v>
          </cell>
          <cell r="AI207">
            <v>7857</v>
          </cell>
          <cell r="AJ207">
            <v>3438</v>
          </cell>
          <cell r="AK207">
            <v>7065</v>
          </cell>
          <cell r="AL207">
            <v>4402</v>
          </cell>
          <cell r="AO207">
            <v>2432</v>
          </cell>
          <cell r="AU207">
            <v>1891</v>
          </cell>
          <cell r="DN207">
            <v>610465</v>
          </cell>
          <cell r="DO207">
            <v>207</v>
          </cell>
        </row>
        <row r="208">
          <cell r="A208" t="str">
            <v>Logan, UT-ID Metro Area</v>
          </cell>
          <cell r="B208">
            <v>18077</v>
          </cell>
          <cell r="C208">
            <v>19221</v>
          </cell>
          <cell r="D208">
            <v>11169</v>
          </cell>
          <cell r="E208">
            <v>14591</v>
          </cell>
          <cell r="F208">
            <v>2001</v>
          </cell>
          <cell r="G208">
            <v>25</v>
          </cell>
          <cell r="H208">
            <v>4787</v>
          </cell>
          <cell r="I208">
            <v>14087</v>
          </cell>
          <cell r="M208">
            <v>1703</v>
          </cell>
          <cell r="P208">
            <v>4128</v>
          </cell>
          <cell r="R208">
            <v>1600</v>
          </cell>
          <cell r="X208">
            <v>5654</v>
          </cell>
          <cell r="AC208">
            <v>5679</v>
          </cell>
          <cell r="DN208">
            <v>102722</v>
          </cell>
          <cell r="DO208">
            <v>208</v>
          </cell>
        </row>
        <row r="209">
          <cell r="A209" t="str">
            <v>Longview, TX Metro Area</v>
          </cell>
          <cell r="C209">
            <v>21548</v>
          </cell>
          <cell r="D209">
            <v>20646</v>
          </cell>
          <cell r="E209">
            <v>16480</v>
          </cell>
          <cell r="F209">
            <v>9360</v>
          </cell>
          <cell r="G209">
            <v>4141</v>
          </cell>
          <cell r="H209">
            <v>9970</v>
          </cell>
          <cell r="I209">
            <v>4679</v>
          </cell>
          <cell r="K209">
            <v>5157</v>
          </cell>
          <cell r="L209">
            <v>18587</v>
          </cell>
          <cell r="M209">
            <v>12473</v>
          </cell>
          <cell r="O209">
            <v>3890</v>
          </cell>
          <cell r="P209">
            <v>5274</v>
          </cell>
          <cell r="T209">
            <v>7355</v>
          </cell>
          <cell r="U209">
            <v>5072</v>
          </cell>
          <cell r="V209">
            <v>16651</v>
          </cell>
          <cell r="W209">
            <v>4241</v>
          </cell>
          <cell r="X209">
            <v>3220</v>
          </cell>
          <cell r="Z209">
            <v>7796</v>
          </cell>
          <cell r="AA209">
            <v>4420</v>
          </cell>
          <cell r="AC209">
            <v>7359</v>
          </cell>
          <cell r="AN209">
            <v>3004</v>
          </cell>
          <cell r="AQ209">
            <v>2721</v>
          </cell>
          <cell r="DN209">
            <v>194044</v>
          </cell>
          <cell r="DO209">
            <v>209</v>
          </cell>
        </row>
        <row r="210">
          <cell r="A210" t="str">
            <v>Longview, WA Metro Area</v>
          </cell>
          <cell r="B210">
            <v>10651</v>
          </cell>
          <cell r="C210">
            <v>28479</v>
          </cell>
          <cell r="D210">
            <v>7589</v>
          </cell>
          <cell r="E210">
            <v>12754</v>
          </cell>
          <cell r="F210">
            <v>1085</v>
          </cell>
          <cell r="G210">
            <v>4669</v>
          </cell>
          <cell r="I210">
            <v>4533</v>
          </cell>
          <cell r="L210">
            <v>8098</v>
          </cell>
          <cell r="M210">
            <v>5508</v>
          </cell>
          <cell r="R210">
            <v>1531</v>
          </cell>
          <cell r="S210">
            <v>5743</v>
          </cell>
          <cell r="W210">
            <v>2307</v>
          </cell>
          <cell r="DN210">
            <v>92947</v>
          </cell>
          <cell r="DO210">
            <v>210</v>
          </cell>
        </row>
        <row r="211">
          <cell r="A211" t="str">
            <v>Los Angeles-Long Beach-Santa Ana, CA Metro Area</v>
          </cell>
          <cell r="B211">
            <v>37492</v>
          </cell>
          <cell r="C211">
            <v>129056</v>
          </cell>
          <cell r="D211">
            <v>267152</v>
          </cell>
          <cell r="E211">
            <v>362413</v>
          </cell>
          <cell r="F211">
            <v>360904</v>
          </cell>
          <cell r="G211">
            <v>462198</v>
          </cell>
          <cell r="H211">
            <v>499441</v>
          </cell>
          <cell r="I211">
            <v>404756</v>
          </cell>
          <cell r="J211">
            <v>427892</v>
          </cell>
          <cell r="K211">
            <v>484175</v>
          </cell>
          <cell r="L211">
            <v>511056</v>
          </cell>
          <cell r="M211">
            <v>553314</v>
          </cell>
          <cell r="N211">
            <v>419593</v>
          </cell>
          <cell r="O211">
            <v>497009</v>
          </cell>
          <cell r="P211">
            <v>412545</v>
          </cell>
          <cell r="Q211">
            <v>411935</v>
          </cell>
          <cell r="R211">
            <v>391683</v>
          </cell>
          <cell r="S211">
            <v>409039</v>
          </cell>
          <cell r="T211">
            <v>411422</v>
          </cell>
          <cell r="U211">
            <v>457839</v>
          </cell>
          <cell r="V211">
            <v>381933</v>
          </cell>
          <cell r="W211">
            <v>359551</v>
          </cell>
          <cell r="X211">
            <v>308009</v>
          </cell>
          <cell r="Y211">
            <v>264197</v>
          </cell>
          <cell r="Z211">
            <v>258250</v>
          </cell>
          <cell r="AA211">
            <v>195096</v>
          </cell>
          <cell r="AB211">
            <v>172634</v>
          </cell>
          <cell r="AC211">
            <v>241974</v>
          </cell>
          <cell r="AD211">
            <v>249768</v>
          </cell>
          <cell r="AE211">
            <v>261142</v>
          </cell>
          <cell r="AF211">
            <v>235743</v>
          </cell>
          <cell r="AG211">
            <v>183110</v>
          </cell>
          <cell r="AH211">
            <v>131545</v>
          </cell>
          <cell r="AI211">
            <v>101379</v>
          </cell>
          <cell r="AJ211">
            <v>60424</v>
          </cell>
          <cell r="AK211">
            <v>92107</v>
          </cell>
          <cell r="AL211">
            <v>129092</v>
          </cell>
          <cell r="AM211">
            <v>88915</v>
          </cell>
          <cell r="AN211">
            <v>24120</v>
          </cell>
          <cell r="AO211">
            <v>27817</v>
          </cell>
          <cell r="AP211">
            <v>8762</v>
          </cell>
          <cell r="AQ211">
            <v>20449</v>
          </cell>
          <cell r="AR211">
            <v>72928</v>
          </cell>
          <cell r="AS211">
            <v>84515</v>
          </cell>
          <cell r="AT211">
            <v>107059</v>
          </cell>
          <cell r="AU211">
            <v>103657</v>
          </cell>
          <cell r="AV211">
            <v>45967</v>
          </cell>
          <cell r="AW211">
            <v>52673</v>
          </cell>
          <cell r="AX211">
            <v>55710</v>
          </cell>
          <cell r="AY211">
            <v>16643</v>
          </cell>
          <cell r="AZ211">
            <v>34360</v>
          </cell>
          <cell r="BA211">
            <v>23075</v>
          </cell>
          <cell r="BB211">
            <v>7197</v>
          </cell>
          <cell r="BC211">
            <v>15664</v>
          </cell>
          <cell r="BD211">
            <v>8044</v>
          </cell>
          <cell r="BF211">
            <v>19948</v>
          </cell>
          <cell r="BG211">
            <v>7530</v>
          </cell>
          <cell r="BH211">
            <v>3734</v>
          </cell>
          <cell r="DN211">
            <v>12365635</v>
          </cell>
          <cell r="DO211">
            <v>211</v>
          </cell>
        </row>
        <row r="212">
          <cell r="A212" t="str">
            <v>Louisville/Jefferson County, KY-IN Metro Area</v>
          </cell>
          <cell r="B212">
            <v>7920</v>
          </cell>
          <cell r="C212">
            <v>43904</v>
          </cell>
          <cell r="D212">
            <v>60590</v>
          </cell>
          <cell r="E212">
            <v>69609</v>
          </cell>
          <cell r="F212">
            <v>82370</v>
          </cell>
          <cell r="G212">
            <v>79566</v>
          </cell>
          <cell r="H212">
            <v>56781</v>
          </cell>
          <cell r="I212">
            <v>80418</v>
          </cell>
          <cell r="J212">
            <v>62555</v>
          </cell>
          <cell r="K212">
            <v>89494</v>
          </cell>
          <cell r="L212">
            <v>63196</v>
          </cell>
          <cell r="M212">
            <v>70210</v>
          </cell>
          <cell r="N212">
            <v>38015</v>
          </cell>
          <cell r="O212">
            <v>24454</v>
          </cell>
          <cell r="P212">
            <v>41430</v>
          </cell>
          <cell r="Q212">
            <v>19185</v>
          </cell>
          <cell r="R212">
            <v>10381</v>
          </cell>
          <cell r="S212">
            <v>18397</v>
          </cell>
          <cell r="T212">
            <v>9821</v>
          </cell>
          <cell r="U212">
            <v>29215</v>
          </cell>
          <cell r="V212">
            <v>11610</v>
          </cell>
          <cell r="W212">
            <v>14699</v>
          </cell>
          <cell r="X212">
            <v>23969</v>
          </cell>
          <cell r="Y212">
            <v>3694</v>
          </cell>
          <cell r="Z212">
            <v>5779</v>
          </cell>
          <cell r="AA212">
            <v>3071</v>
          </cell>
          <cell r="AB212">
            <v>9038</v>
          </cell>
          <cell r="AC212">
            <v>7340</v>
          </cell>
          <cell r="AD212">
            <v>16592</v>
          </cell>
          <cell r="AE212">
            <v>14972</v>
          </cell>
          <cell r="AF212">
            <v>18802</v>
          </cell>
          <cell r="AG212">
            <v>5028</v>
          </cell>
          <cell r="AH212">
            <v>18122</v>
          </cell>
          <cell r="AJ212">
            <v>17591</v>
          </cell>
          <cell r="AK212">
            <v>7035</v>
          </cell>
          <cell r="AL212">
            <v>7457</v>
          </cell>
          <cell r="AM212">
            <v>15044</v>
          </cell>
          <cell r="AO212">
            <v>3141</v>
          </cell>
          <cell r="AR212">
            <v>3544</v>
          </cell>
          <cell r="DN212">
            <v>1164039</v>
          </cell>
          <cell r="DO212">
            <v>212</v>
          </cell>
        </row>
        <row r="213">
          <cell r="A213" t="str">
            <v>Lubbock, TX Metro Area</v>
          </cell>
          <cell r="B213">
            <v>12812</v>
          </cell>
          <cell r="C213">
            <v>24660</v>
          </cell>
          <cell r="D213">
            <v>34470</v>
          </cell>
          <cell r="E213">
            <v>39961</v>
          </cell>
          <cell r="F213">
            <v>35734</v>
          </cell>
          <cell r="G213">
            <v>34296</v>
          </cell>
          <cell r="H213">
            <v>22835</v>
          </cell>
          <cell r="I213">
            <v>1240</v>
          </cell>
          <cell r="J213">
            <v>8884</v>
          </cell>
          <cell r="K213">
            <v>5560</v>
          </cell>
          <cell r="L213">
            <v>9435</v>
          </cell>
          <cell r="M213">
            <v>6666</v>
          </cell>
          <cell r="Q213">
            <v>6081</v>
          </cell>
          <cell r="U213">
            <v>1839</v>
          </cell>
          <cell r="AC213">
            <v>2796</v>
          </cell>
          <cell r="AL213">
            <v>2439</v>
          </cell>
          <cell r="DN213">
            <v>249708</v>
          </cell>
          <cell r="DO213">
            <v>213</v>
          </cell>
        </row>
        <row r="214">
          <cell r="A214" t="str">
            <v>Lynchburg, VA Metro Area</v>
          </cell>
          <cell r="B214">
            <v>5372</v>
          </cell>
          <cell r="C214">
            <v>15964</v>
          </cell>
          <cell r="D214">
            <v>10525</v>
          </cell>
          <cell r="E214">
            <v>22972</v>
          </cell>
          <cell r="F214">
            <v>14502</v>
          </cell>
          <cell r="G214">
            <v>6473</v>
          </cell>
          <cell r="H214">
            <v>15061</v>
          </cell>
          <cell r="I214">
            <v>20808</v>
          </cell>
          <cell r="J214">
            <v>4158</v>
          </cell>
          <cell r="K214">
            <v>3072</v>
          </cell>
          <cell r="M214">
            <v>28909</v>
          </cell>
          <cell r="O214">
            <v>3765</v>
          </cell>
          <cell r="Q214">
            <v>5067</v>
          </cell>
          <cell r="R214">
            <v>5803</v>
          </cell>
          <cell r="S214">
            <v>3673</v>
          </cell>
          <cell r="T214">
            <v>7836</v>
          </cell>
          <cell r="U214">
            <v>3874</v>
          </cell>
          <cell r="W214">
            <v>9847</v>
          </cell>
          <cell r="X214">
            <v>6966</v>
          </cell>
          <cell r="Y214">
            <v>6239</v>
          </cell>
          <cell r="Z214">
            <v>4168</v>
          </cell>
          <cell r="AD214">
            <v>3543</v>
          </cell>
          <cell r="AG214">
            <v>3345</v>
          </cell>
          <cell r="AH214">
            <v>2571</v>
          </cell>
          <cell r="AI214">
            <v>4568</v>
          </cell>
          <cell r="AJ214">
            <v>3176</v>
          </cell>
          <cell r="AK214">
            <v>2668</v>
          </cell>
          <cell r="AN214">
            <v>3609</v>
          </cell>
          <cell r="DN214">
            <v>228534</v>
          </cell>
          <cell r="DO214">
            <v>214</v>
          </cell>
        </row>
        <row r="215">
          <cell r="A215" t="str">
            <v>Macon, GA Metro Area</v>
          </cell>
          <cell r="B215">
            <v>4538</v>
          </cell>
          <cell r="C215">
            <v>20376</v>
          </cell>
          <cell r="D215">
            <v>26292</v>
          </cell>
          <cell r="E215">
            <v>23881</v>
          </cell>
          <cell r="F215">
            <v>19630</v>
          </cell>
          <cell r="G215">
            <v>17799</v>
          </cell>
          <cell r="H215">
            <v>8163</v>
          </cell>
          <cell r="I215">
            <v>11709</v>
          </cell>
          <cell r="J215">
            <v>21066</v>
          </cell>
          <cell r="K215">
            <v>11528</v>
          </cell>
          <cell r="N215">
            <v>8526</v>
          </cell>
          <cell r="O215">
            <v>11216</v>
          </cell>
          <cell r="Q215">
            <v>5670</v>
          </cell>
          <cell r="R215">
            <v>3182</v>
          </cell>
          <cell r="S215">
            <v>4182</v>
          </cell>
          <cell r="U215">
            <v>4636</v>
          </cell>
          <cell r="X215">
            <v>7011</v>
          </cell>
          <cell r="Y215">
            <v>5241</v>
          </cell>
          <cell r="Z215">
            <v>3635</v>
          </cell>
          <cell r="AE215">
            <v>4203</v>
          </cell>
          <cell r="DN215">
            <v>222484</v>
          </cell>
          <cell r="DO215">
            <v>215</v>
          </cell>
        </row>
        <row r="216">
          <cell r="A216" t="str">
            <v>Madera-Chowchilla, CA Metro Area</v>
          </cell>
          <cell r="B216">
            <v>18640</v>
          </cell>
          <cell r="C216">
            <v>23258</v>
          </cell>
          <cell r="D216">
            <v>5194</v>
          </cell>
          <cell r="E216">
            <v>12423</v>
          </cell>
          <cell r="F216">
            <v>6080</v>
          </cell>
          <cell r="H216">
            <v>6418</v>
          </cell>
          <cell r="L216">
            <v>13415</v>
          </cell>
          <cell r="P216">
            <v>2933</v>
          </cell>
          <cell r="Q216">
            <v>7595</v>
          </cell>
          <cell r="T216">
            <v>1591</v>
          </cell>
          <cell r="X216">
            <v>6173</v>
          </cell>
          <cell r="AD216">
            <v>5531</v>
          </cell>
          <cell r="AJ216">
            <v>8862</v>
          </cell>
          <cell r="AK216">
            <v>5066</v>
          </cell>
          <cell r="DN216">
            <v>123179</v>
          </cell>
          <cell r="DO216">
            <v>216</v>
          </cell>
        </row>
        <row r="217">
          <cell r="A217" t="str">
            <v>Madison, WI Metro Area</v>
          </cell>
          <cell r="B217">
            <v>25056</v>
          </cell>
          <cell r="C217">
            <v>25294</v>
          </cell>
          <cell r="D217">
            <v>45895</v>
          </cell>
          <cell r="E217">
            <v>39004</v>
          </cell>
          <cell r="F217">
            <v>44230</v>
          </cell>
          <cell r="G217">
            <v>33774</v>
          </cell>
          <cell r="H217">
            <v>53665</v>
          </cell>
          <cell r="I217">
            <v>10661</v>
          </cell>
          <cell r="J217">
            <v>14922</v>
          </cell>
          <cell r="K217">
            <v>28717</v>
          </cell>
          <cell r="L217">
            <v>21643</v>
          </cell>
          <cell r="M217">
            <v>12556</v>
          </cell>
          <cell r="N217">
            <v>24215</v>
          </cell>
          <cell r="O217">
            <v>10895</v>
          </cell>
          <cell r="R217">
            <v>13901</v>
          </cell>
          <cell r="S217">
            <v>5390</v>
          </cell>
          <cell r="T217">
            <v>9779</v>
          </cell>
          <cell r="U217">
            <v>5137</v>
          </cell>
          <cell r="V217">
            <v>10809</v>
          </cell>
          <cell r="Y217">
            <v>4043</v>
          </cell>
          <cell r="Z217">
            <v>3947</v>
          </cell>
          <cell r="AA217">
            <v>4705</v>
          </cell>
          <cell r="AB217">
            <v>2918</v>
          </cell>
          <cell r="AE217">
            <v>4545</v>
          </cell>
          <cell r="AF217">
            <v>7716</v>
          </cell>
          <cell r="AH217">
            <v>5365</v>
          </cell>
          <cell r="AI217">
            <v>10221</v>
          </cell>
          <cell r="AL217">
            <v>3982</v>
          </cell>
          <cell r="AN217">
            <v>4714</v>
          </cell>
          <cell r="AQ217">
            <v>3957</v>
          </cell>
          <cell r="AR217">
            <v>3495</v>
          </cell>
          <cell r="AX217">
            <v>6614</v>
          </cell>
          <cell r="DN217">
            <v>501765</v>
          </cell>
          <cell r="DO217">
            <v>217</v>
          </cell>
        </row>
        <row r="218">
          <cell r="A218" t="str">
            <v>Manchester-Nashua, NH Metro Area</v>
          </cell>
          <cell r="B218">
            <v>33577</v>
          </cell>
          <cell r="C218">
            <v>36125</v>
          </cell>
          <cell r="D218">
            <v>34005</v>
          </cell>
          <cell r="E218">
            <v>11061</v>
          </cell>
          <cell r="F218">
            <v>11221</v>
          </cell>
          <cell r="G218">
            <v>5537</v>
          </cell>
          <cell r="H218">
            <v>6884</v>
          </cell>
          <cell r="I218">
            <v>10458</v>
          </cell>
          <cell r="J218">
            <v>10693</v>
          </cell>
          <cell r="L218">
            <v>11477</v>
          </cell>
          <cell r="M218">
            <v>12828</v>
          </cell>
          <cell r="N218">
            <v>7794</v>
          </cell>
          <cell r="O218">
            <v>7698</v>
          </cell>
          <cell r="P218">
            <v>29635</v>
          </cell>
          <cell r="Q218">
            <v>21237</v>
          </cell>
          <cell r="R218">
            <v>31929</v>
          </cell>
          <cell r="S218">
            <v>19526</v>
          </cell>
          <cell r="T218">
            <v>30238</v>
          </cell>
          <cell r="U218">
            <v>10401</v>
          </cell>
          <cell r="V218">
            <v>13978</v>
          </cell>
          <cell r="X218">
            <v>1188</v>
          </cell>
          <cell r="Y218">
            <v>2204</v>
          </cell>
          <cell r="Z218">
            <v>5139</v>
          </cell>
          <cell r="AA218">
            <v>14281</v>
          </cell>
          <cell r="AB218">
            <v>1740</v>
          </cell>
          <cell r="DN218">
            <v>380854</v>
          </cell>
          <cell r="DO218">
            <v>218</v>
          </cell>
        </row>
        <row r="219">
          <cell r="A219" t="str">
            <v>Manhattan, KS Metro Area</v>
          </cell>
          <cell r="B219">
            <v>11094</v>
          </cell>
          <cell r="C219">
            <v>18649</v>
          </cell>
          <cell r="D219">
            <v>12848</v>
          </cell>
          <cell r="E219">
            <v>2829</v>
          </cell>
          <cell r="F219">
            <v>5507</v>
          </cell>
          <cell r="I219">
            <v>5125</v>
          </cell>
          <cell r="O219">
            <v>12451</v>
          </cell>
          <cell r="P219">
            <v>9083</v>
          </cell>
          <cell r="Q219">
            <v>2266</v>
          </cell>
          <cell r="R219">
            <v>2727</v>
          </cell>
          <cell r="S219">
            <v>9614</v>
          </cell>
          <cell r="T219">
            <v>9098</v>
          </cell>
          <cell r="W219">
            <v>3988</v>
          </cell>
          <cell r="AB219">
            <v>3738</v>
          </cell>
          <cell r="DN219">
            <v>109017</v>
          </cell>
          <cell r="DO219">
            <v>219</v>
          </cell>
        </row>
        <row r="220">
          <cell r="A220" t="str">
            <v>Mankato-North Mankato, MN Metro Area</v>
          </cell>
          <cell r="B220">
            <v>8852</v>
          </cell>
          <cell r="C220">
            <v>23726</v>
          </cell>
          <cell r="D220">
            <v>14922</v>
          </cell>
          <cell r="H220">
            <v>6619</v>
          </cell>
          <cell r="I220">
            <v>3967</v>
          </cell>
          <cell r="L220">
            <v>9785</v>
          </cell>
          <cell r="M220">
            <v>3230</v>
          </cell>
          <cell r="N220">
            <v>4360</v>
          </cell>
          <cell r="R220">
            <v>6581</v>
          </cell>
          <cell r="Y220">
            <v>3665</v>
          </cell>
          <cell r="DN220">
            <v>85707</v>
          </cell>
          <cell r="DO220">
            <v>220</v>
          </cell>
        </row>
        <row r="221">
          <cell r="A221" t="str">
            <v>Mansfield, OH Metro Area</v>
          </cell>
          <cell r="B221">
            <v>15238</v>
          </cell>
          <cell r="C221">
            <v>21787</v>
          </cell>
          <cell r="D221">
            <v>17151</v>
          </cell>
          <cell r="E221">
            <v>8646</v>
          </cell>
          <cell r="F221">
            <v>16181</v>
          </cell>
          <cell r="H221">
            <v>17830</v>
          </cell>
          <cell r="J221">
            <v>5588</v>
          </cell>
          <cell r="L221">
            <v>9127</v>
          </cell>
          <cell r="M221">
            <v>9629</v>
          </cell>
          <cell r="N221">
            <v>3846</v>
          </cell>
          <cell r="Q221">
            <v>3910</v>
          </cell>
          <cell r="DN221">
            <v>128933</v>
          </cell>
          <cell r="DO221">
            <v>221</v>
          </cell>
        </row>
        <row r="222">
          <cell r="A222" t="str">
            <v>McAllen-Edinburg-Mission, TX Metro Area</v>
          </cell>
          <cell r="B222">
            <v>9745</v>
          </cell>
          <cell r="C222">
            <v>28635</v>
          </cell>
          <cell r="D222">
            <v>32400</v>
          </cell>
          <cell r="E222">
            <v>53237</v>
          </cell>
          <cell r="F222">
            <v>22773</v>
          </cell>
          <cell r="G222">
            <v>62120</v>
          </cell>
          <cell r="H222">
            <v>41521</v>
          </cell>
          <cell r="I222">
            <v>46995</v>
          </cell>
          <cell r="J222">
            <v>29584</v>
          </cell>
          <cell r="K222">
            <v>39953</v>
          </cell>
          <cell r="L222">
            <v>31362</v>
          </cell>
          <cell r="M222">
            <v>9635</v>
          </cell>
          <cell r="N222">
            <v>25125</v>
          </cell>
          <cell r="O222">
            <v>20433</v>
          </cell>
          <cell r="P222">
            <v>16213</v>
          </cell>
          <cell r="Q222">
            <v>19321</v>
          </cell>
          <cell r="R222">
            <v>26734</v>
          </cell>
          <cell r="S222">
            <v>18393</v>
          </cell>
          <cell r="T222">
            <v>7258</v>
          </cell>
          <cell r="U222">
            <v>14084</v>
          </cell>
          <cell r="V222">
            <v>10639</v>
          </cell>
          <cell r="W222">
            <v>1384</v>
          </cell>
          <cell r="Z222">
            <v>1557</v>
          </cell>
          <cell r="DN222">
            <v>569101</v>
          </cell>
          <cell r="DO222">
            <v>222</v>
          </cell>
        </row>
        <row r="223">
          <cell r="A223" t="str">
            <v>Medford, OR Metro Area</v>
          </cell>
          <cell r="B223">
            <v>16458</v>
          </cell>
          <cell r="C223">
            <v>21051</v>
          </cell>
          <cell r="D223">
            <v>27760</v>
          </cell>
          <cell r="E223">
            <v>17770</v>
          </cell>
          <cell r="F223">
            <v>13644</v>
          </cell>
          <cell r="G223">
            <v>3825</v>
          </cell>
          <cell r="H223">
            <v>6574</v>
          </cell>
          <cell r="I223">
            <v>11696</v>
          </cell>
          <cell r="J223">
            <v>3602</v>
          </cell>
          <cell r="L223">
            <v>3979</v>
          </cell>
          <cell r="M223">
            <v>10241</v>
          </cell>
          <cell r="N223">
            <v>18286</v>
          </cell>
          <cell r="O223">
            <v>7824</v>
          </cell>
          <cell r="R223">
            <v>2496</v>
          </cell>
          <cell r="T223">
            <v>7086</v>
          </cell>
          <cell r="U223">
            <v>6365</v>
          </cell>
          <cell r="Z223">
            <v>2624</v>
          </cell>
          <cell r="DN223">
            <v>181281</v>
          </cell>
          <cell r="DO223">
            <v>223</v>
          </cell>
        </row>
        <row r="224">
          <cell r="A224" t="str">
            <v>Memphis, TN-MS-AR Metro Area</v>
          </cell>
          <cell r="B224">
            <v>9726</v>
          </cell>
          <cell r="C224">
            <v>24356</v>
          </cell>
          <cell r="D224">
            <v>37554</v>
          </cell>
          <cell r="E224">
            <v>43740</v>
          </cell>
          <cell r="F224">
            <v>36910</v>
          </cell>
          <cell r="G224">
            <v>64155</v>
          </cell>
          <cell r="H224">
            <v>78419</v>
          </cell>
          <cell r="I224">
            <v>68630</v>
          </cell>
          <cell r="J224">
            <v>82023</v>
          </cell>
          <cell r="K224">
            <v>81111</v>
          </cell>
          <cell r="L224">
            <v>62339</v>
          </cell>
          <cell r="M224">
            <v>52887</v>
          </cell>
          <cell r="N224">
            <v>70400</v>
          </cell>
          <cell r="O224">
            <v>73519</v>
          </cell>
          <cell r="P224">
            <v>32565</v>
          </cell>
          <cell r="Q224">
            <v>69599</v>
          </cell>
          <cell r="R224">
            <v>50104</v>
          </cell>
          <cell r="S224">
            <v>25057</v>
          </cell>
          <cell r="T224">
            <v>6589</v>
          </cell>
          <cell r="U224">
            <v>12749</v>
          </cell>
          <cell r="V224">
            <v>19474</v>
          </cell>
          <cell r="W224">
            <v>15087</v>
          </cell>
          <cell r="X224">
            <v>27517</v>
          </cell>
          <cell r="Y224">
            <v>14011</v>
          </cell>
          <cell r="Z224">
            <v>8580</v>
          </cell>
          <cell r="AA224">
            <v>6910</v>
          </cell>
          <cell r="AB224">
            <v>3704</v>
          </cell>
          <cell r="AC224">
            <v>9729</v>
          </cell>
          <cell r="AD224">
            <v>10272</v>
          </cell>
          <cell r="AE224">
            <v>7115</v>
          </cell>
          <cell r="AG224">
            <v>8980</v>
          </cell>
          <cell r="AI224">
            <v>16166</v>
          </cell>
          <cell r="AJ224">
            <v>6117</v>
          </cell>
          <cell r="AK224">
            <v>8818</v>
          </cell>
          <cell r="AL224">
            <v>25748</v>
          </cell>
          <cell r="AM224">
            <v>9357</v>
          </cell>
          <cell r="AO224">
            <v>3781</v>
          </cell>
          <cell r="AQ224">
            <v>3787</v>
          </cell>
          <cell r="AR224">
            <v>3403</v>
          </cell>
          <cell r="AS224">
            <v>7423</v>
          </cell>
          <cell r="AX224">
            <v>6849</v>
          </cell>
          <cell r="DN224">
            <v>1205260</v>
          </cell>
          <cell r="DO224">
            <v>224</v>
          </cell>
        </row>
        <row r="225">
          <cell r="A225" t="str">
            <v>Merced, CA Metro Area</v>
          </cell>
          <cell r="B225">
            <v>14219</v>
          </cell>
          <cell r="C225">
            <v>41899</v>
          </cell>
          <cell r="D225">
            <v>13512</v>
          </cell>
          <cell r="E225">
            <v>7518</v>
          </cell>
          <cell r="H225">
            <v>12447</v>
          </cell>
          <cell r="I225">
            <v>12923</v>
          </cell>
          <cell r="J225">
            <v>9812</v>
          </cell>
          <cell r="K225">
            <v>16016</v>
          </cell>
          <cell r="O225">
            <v>8472</v>
          </cell>
          <cell r="P225">
            <v>7409</v>
          </cell>
          <cell r="S225">
            <v>4663</v>
          </cell>
          <cell r="T225">
            <v>6729</v>
          </cell>
          <cell r="V225">
            <v>1854</v>
          </cell>
          <cell r="W225">
            <v>9387</v>
          </cell>
          <cell r="Y225">
            <v>6928</v>
          </cell>
          <cell r="Z225">
            <v>7837</v>
          </cell>
          <cell r="AA225">
            <v>7453</v>
          </cell>
          <cell r="AB225">
            <v>6381</v>
          </cell>
          <cell r="AC225">
            <v>4737</v>
          </cell>
          <cell r="AD225">
            <v>7075</v>
          </cell>
          <cell r="AE225">
            <v>3923</v>
          </cell>
          <cell r="DN225">
            <v>211194</v>
          </cell>
          <cell r="DO225">
            <v>225</v>
          </cell>
        </row>
        <row r="226">
          <cell r="A226" t="str">
            <v>Miami-Fort Lauderdale-Pompano Beach, FL Metro Area</v>
          </cell>
          <cell r="B226">
            <v>8349</v>
          </cell>
          <cell r="C226">
            <v>47718</v>
          </cell>
          <cell r="D226">
            <v>77658</v>
          </cell>
          <cell r="E226">
            <v>100102</v>
          </cell>
          <cell r="F226">
            <v>104351</v>
          </cell>
          <cell r="G226">
            <v>93714</v>
          </cell>
          <cell r="H226">
            <v>138167</v>
          </cell>
          <cell r="I226">
            <v>154491</v>
          </cell>
          <cell r="J226">
            <v>157007</v>
          </cell>
          <cell r="K226">
            <v>158776</v>
          </cell>
          <cell r="L226">
            <v>177427</v>
          </cell>
          <cell r="M226">
            <v>224864</v>
          </cell>
          <cell r="N226">
            <v>184735</v>
          </cell>
          <cell r="O226">
            <v>166602</v>
          </cell>
          <cell r="P226">
            <v>120119</v>
          </cell>
          <cell r="Q226">
            <v>135277</v>
          </cell>
          <cell r="R226">
            <v>77878</v>
          </cell>
          <cell r="S226">
            <v>81949</v>
          </cell>
          <cell r="T226">
            <v>75660</v>
          </cell>
          <cell r="U226">
            <v>129774</v>
          </cell>
          <cell r="V226">
            <v>91835</v>
          </cell>
          <cell r="W226">
            <v>88406</v>
          </cell>
          <cell r="X226">
            <v>75557</v>
          </cell>
          <cell r="Y226">
            <v>51347</v>
          </cell>
          <cell r="Z226">
            <v>33070</v>
          </cell>
          <cell r="AA226">
            <v>69190</v>
          </cell>
          <cell r="AB226">
            <v>60957</v>
          </cell>
          <cell r="AC226">
            <v>91098</v>
          </cell>
          <cell r="AD226">
            <v>84004</v>
          </cell>
          <cell r="AE226">
            <v>123993</v>
          </cell>
          <cell r="AF226">
            <v>73514</v>
          </cell>
          <cell r="AG226">
            <v>64742</v>
          </cell>
          <cell r="AH226">
            <v>58396</v>
          </cell>
          <cell r="AI226">
            <v>69737</v>
          </cell>
          <cell r="AJ226">
            <v>57842</v>
          </cell>
          <cell r="AK226">
            <v>69921</v>
          </cell>
          <cell r="AL226">
            <v>49621</v>
          </cell>
          <cell r="AM226">
            <v>65203</v>
          </cell>
          <cell r="AN226">
            <v>45460</v>
          </cell>
          <cell r="AO226">
            <v>68677</v>
          </cell>
          <cell r="AP226">
            <v>45511</v>
          </cell>
          <cell r="AQ226">
            <v>37579</v>
          </cell>
          <cell r="AR226">
            <v>49773</v>
          </cell>
          <cell r="AS226">
            <v>34192</v>
          </cell>
          <cell r="AT226">
            <v>26528</v>
          </cell>
          <cell r="AU226">
            <v>27212</v>
          </cell>
          <cell r="AV226">
            <v>32813</v>
          </cell>
          <cell r="AW226">
            <v>12703</v>
          </cell>
          <cell r="AX226">
            <v>12312</v>
          </cell>
          <cell r="AY226">
            <v>29804</v>
          </cell>
          <cell r="AZ226">
            <v>25625</v>
          </cell>
          <cell r="BA226">
            <v>23109</v>
          </cell>
          <cell r="BB226">
            <v>20503</v>
          </cell>
          <cell r="BC226">
            <v>12123</v>
          </cell>
          <cell r="BD226">
            <v>17912</v>
          </cell>
          <cell r="BE226">
            <v>36360</v>
          </cell>
          <cell r="BF226">
            <v>26670</v>
          </cell>
          <cell r="BG226">
            <v>16783</v>
          </cell>
          <cell r="BH226">
            <v>28518</v>
          </cell>
          <cell r="BI226">
            <v>28273</v>
          </cell>
          <cell r="BJ226">
            <v>25279</v>
          </cell>
          <cell r="BK226">
            <v>46163</v>
          </cell>
          <cell r="BL226">
            <v>46039</v>
          </cell>
          <cell r="BM226">
            <v>47415</v>
          </cell>
          <cell r="BN226">
            <v>45799</v>
          </cell>
          <cell r="BO226">
            <v>41894</v>
          </cell>
          <cell r="BP226">
            <v>27051</v>
          </cell>
          <cell r="BQ226">
            <v>33115</v>
          </cell>
          <cell r="BR226">
            <v>37713</v>
          </cell>
          <cell r="BS226">
            <v>24454</v>
          </cell>
          <cell r="BT226">
            <v>27139</v>
          </cell>
          <cell r="BU226">
            <v>31081</v>
          </cell>
          <cell r="BV226">
            <v>22756</v>
          </cell>
          <cell r="BW226">
            <v>28619</v>
          </cell>
          <cell r="BX226">
            <v>27459</v>
          </cell>
          <cell r="BY226">
            <v>18284</v>
          </cell>
          <cell r="BZ226">
            <v>18984</v>
          </cell>
          <cell r="CA226">
            <v>5170</v>
          </cell>
          <cell r="CB226">
            <v>12840</v>
          </cell>
          <cell r="CC226">
            <v>14943</v>
          </cell>
          <cell r="CD226">
            <v>3721</v>
          </cell>
          <cell r="CE226">
            <v>15893</v>
          </cell>
          <cell r="CF226">
            <v>24072</v>
          </cell>
          <cell r="CG226">
            <v>5972</v>
          </cell>
          <cell r="CH226">
            <v>10800</v>
          </cell>
          <cell r="CI226">
            <v>13805</v>
          </cell>
          <cell r="DN226">
            <v>5007951</v>
          </cell>
          <cell r="DO226">
            <v>226</v>
          </cell>
        </row>
        <row r="227">
          <cell r="A227" t="str">
            <v>Michigan City-La Porte, IN Metro Area</v>
          </cell>
          <cell r="B227">
            <v>5671</v>
          </cell>
          <cell r="C227">
            <v>14988</v>
          </cell>
          <cell r="D227">
            <v>11064</v>
          </cell>
          <cell r="E227">
            <v>6405</v>
          </cell>
          <cell r="F227">
            <v>1244</v>
          </cell>
          <cell r="H227">
            <v>11710</v>
          </cell>
          <cell r="L227">
            <v>4847</v>
          </cell>
          <cell r="M227">
            <v>5840</v>
          </cell>
          <cell r="N227">
            <v>25885</v>
          </cell>
          <cell r="Q227">
            <v>5391</v>
          </cell>
          <cell r="S227">
            <v>8159</v>
          </cell>
          <cell r="T227">
            <v>5289</v>
          </cell>
          <cell r="Y227">
            <v>3609</v>
          </cell>
          <cell r="DN227">
            <v>110102</v>
          </cell>
          <cell r="DO227">
            <v>227</v>
          </cell>
        </row>
        <row r="228">
          <cell r="A228" t="str">
            <v>Midland, TX Metro Area</v>
          </cell>
          <cell r="B228">
            <v>2987</v>
          </cell>
          <cell r="C228">
            <v>28278</v>
          </cell>
          <cell r="D228">
            <v>8906</v>
          </cell>
          <cell r="E228">
            <v>39311</v>
          </cell>
          <cell r="F228">
            <v>13957</v>
          </cell>
          <cell r="G228">
            <v>10952</v>
          </cell>
          <cell r="H228">
            <v>7813</v>
          </cell>
          <cell r="J228">
            <v>7</v>
          </cell>
          <cell r="L228">
            <v>3823</v>
          </cell>
          <cell r="DN228">
            <v>116034</v>
          </cell>
          <cell r="DO228">
            <v>228</v>
          </cell>
        </row>
        <row r="229">
          <cell r="A229" t="str">
            <v>Milwaukee-Waukesha-West Allis, WI Metro Area</v>
          </cell>
          <cell r="B229">
            <v>17527</v>
          </cell>
          <cell r="C229">
            <v>66484</v>
          </cell>
          <cell r="D229">
            <v>127164</v>
          </cell>
          <cell r="E229">
            <v>112486</v>
          </cell>
          <cell r="F229">
            <v>119911</v>
          </cell>
          <cell r="G229">
            <v>112582</v>
          </cell>
          <cell r="H229">
            <v>105824</v>
          </cell>
          <cell r="I229">
            <v>89742</v>
          </cell>
          <cell r="J229">
            <v>73797</v>
          </cell>
          <cell r="K229">
            <v>66924</v>
          </cell>
          <cell r="L229">
            <v>54343</v>
          </cell>
          <cell r="M229">
            <v>71523</v>
          </cell>
          <cell r="N229">
            <v>26663</v>
          </cell>
          <cell r="O229">
            <v>28121</v>
          </cell>
          <cell r="P229">
            <v>47653</v>
          </cell>
          <cell r="Q229">
            <v>19522</v>
          </cell>
          <cell r="R229">
            <v>38741</v>
          </cell>
          <cell r="S229">
            <v>30910</v>
          </cell>
          <cell r="T229">
            <v>37363</v>
          </cell>
          <cell r="U229">
            <v>28024</v>
          </cell>
          <cell r="V229">
            <v>13882</v>
          </cell>
          <cell r="W229">
            <v>7674</v>
          </cell>
          <cell r="X229">
            <v>20267</v>
          </cell>
          <cell r="Y229">
            <v>27712</v>
          </cell>
          <cell r="Z229">
            <v>8695</v>
          </cell>
          <cell r="AA229">
            <v>20495</v>
          </cell>
          <cell r="AB229">
            <v>15420</v>
          </cell>
          <cell r="AC229">
            <v>10186</v>
          </cell>
          <cell r="AD229">
            <v>14468</v>
          </cell>
          <cell r="AE229">
            <v>32581</v>
          </cell>
          <cell r="AF229">
            <v>27217</v>
          </cell>
          <cell r="AG229">
            <v>14098</v>
          </cell>
          <cell r="AH229">
            <v>3309</v>
          </cell>
          <cell r="AK229">
            <v>5094</v>
          </cell>
          <cell r="AL229">
            <v>4386</v>
          </cell>
          <cell r="DN229">
            <v>1500788</v>
          </cell>
          <cell r="DO229">
            <v>229</v>
          </cell>
        </row>
        <row r="230">
          <cell r="A230" t="str">
            <v>Minneapolis-St. Paul-Bloomington, MN-WI Metro Area</v>
          </cell>
          <cell r="B230">
            <v>25741</v>
          </cell>
          <cell r="C230">
            <v>89816</v>
          </cell>
          <cell r="D230">
            <v>109908</v>
          </cell>
          <cell r="E230">
            <v>99476</v>
          </cell>
          <cell r="F230">
            <v>121177</v>
          </cell>
          <cell r="G230">
            <v>137672</v>
          </cell>
          <cell r="H230">
            <v>145496</v>
          </cell>
          <cell r="I230">
            <v>168523</v>
          </cell>
          <cell r="J230">
            <v>143813</v>
          </cell>
          <cell r="K230">
            <v>136460</v>
          </cell>
          <cell r="L230">
            <v>136102</v>
          </cell>
          <cell r="M230">
            <v>142900</v>
          </cell>
          <cell r="N230">
            <v>143432</v>
          </cell>
          <cell r="O230">
            <v>162118</v>
          </cell>
          <cell r="P230">
            <v>141085</v>
          </cell>
          <cell r="Q230">
            <v>117938</v>
          </cell>
          <cell r="R230">
            <v>94473</v>
          </cell>
          <cell r="S230">
            <v>112414</v>
          </cell>
          <cell r="T230">
            <v>72221</v>
          </cell>
          <cell r="U230">
            <v>57015</v>
          </cell>
          <cell r="V230">
            <v>43133</v>
          </cell>
          <cell r="W230">
            <v>39609</v>
          </cell>
          <cell r="X230">
            <v>50441</v>
          </cell>
          <cell r="Y230">
            <v>19129</v>
          </cell>
          <cell r="Z230">
            <v>28351</v>
          </cell>
          <cell r="AA230">
            <v>33724</v>
          </cell>
          <cell r="AB230">
            <v>48402</v>
          </cell>
          <cell r="AC230">
            <v>27863</v>
          </cell>
          <cell r="AD230">
            <v>35452</v>
          </cell>
          <cell r="AE230">
            <v>21394</v>
          </cell>
          <cell r="AF230">
            <v>2308</v>
          </cell>
          <cell r="AG230">
            <v>6440</v>
          </cell>
          <cell r="AH230">
            <v>34017</v>
          </cell>
          <cell r="AI230">
            <v>26231</v>
          </cell>
          <cell r="AJ230">
            <v>18314</v>
          </cell>
          <cell r="AK230">
            <v>36360</v>
          </cell>
          <cell r="AL230">
            <v>6680</v>
          </cell>
          <cell r="AM230">
            <v>17802</v>
          </cell>
          <cell r="AN230">
            <v>4206</v>
          </cell>
          <cell r="AO230">
            <v>13786</v>
          </cell>
          <cell r="AP230">
            <v>14564</v>
          </cell>
          <cell r="AQ230">
            <v>15872</v>
          </cell>
          <cell r="AR230">
            <v>4315</v>
          </cell>
          <cell r="AT230">
            <v>4545</v>
          </cell>
          <cell r="AU230">
            <v>16122</v>
          </cell>
          <cell r="AV230">
            <v>6703</v>
          </cell>
          <cell r="AW230">
            <v>4189</v>
          </cell>
          <cell r="AX230">
            <v>5607</v>
          </cell>
          <cell r="AY230">
            <v>2918</v>
          </cell>
          <cell r="AZ230">
            <v>5821</v>
          </cell>
          <cell r="BB230">
            <v>4201</v>
          </cell>
          <cell r="BC230">
            <v>6567</v>
          </cell>
          <cell r="BG230">
            <v>6408</v>
          </cell>
          <cell r="DN230">
            <v>2969254</v>
          </cell>
          <cell r="DO230">
            <v>230</v>
          </cell>
        </row>
        <row r="231">
          <cell r="A231" t="str">
            <v>Missoula, MT Metro Area</v>
          </cell>
          <cell r="B231">
            <v>4565</v>
          </cell>
          <cell r="C231">
            <v>31308</v>
          </cell>
          <cell r="D231">
            <v>7081</v>
          </cell>
          <cell r="E231">
            <v>16535</v>
          </cell>
          <cell r="F231">
            <v>11315</v>
          </cell>
          <cell r="H231">
            <v>6249</v>
          </cell>
          <cell r="K231">
            <v>5896</v>
          </cell>
          <cell r="M231">
            <v>2309</v>
          </cell>
          <cell r="P231">
            <v>6105</v>
          </cell>
          <cell r="Z231">
            <v>4440</v>
          </cell>
          <cell r="DN231">
            <v>95803</v>
          </cell>
          <cell r="DO231">
            <v>231</v>
          </cell>
        </row>
        <row r="232">
          <cell r="A232" t="str">
            <v>Mobile, AL Metro Area</v>
          </cell>
          <cell r="B232">
            <v>9734</v>
          </cell>
          <cell r="C232">
            <v>13961</v>
          </cell>
          <cell r="D232">
            <v>19356</v>
          </cell>
          <cell r="E232">
            <v>27163</v>
          </cell>
          <cell r="F232">
            <v>28043</v>
          </cell>
          <cell r="G232">
            <v>20569</v>
          </cell>
          <cell r="H232">
            <v>36994</v>
          </cell>
          <cell r="I232">
            <v>17115</v>
          </cell>
          <cell r="J232">
            <v>36264</v>
          </cell>
          <cell r="K232">
            <v>27387</v>
          </cell>
          <cell r="L232">
            <v>19344</v>
          </cell>
          <cell r="M232">
            <v>17482</v>
          </cell>
          <cell r="N232">
            <v>25099</v>
          </cell>
          <cell r="O232">
            <v>20770</v>
          </cell>
          <cell r="P232">
            <v>4345</v>
          </cell>
          <cell r="Q232">
            <v>7160</v>
          </cell>
          <cell r="R232">
            <v>12090</v>
          </cell>
          <cell r="S232">
            <v>8564</v>
          </cell>
          <cell r="T232">
            <v>2404</v>
          </cell>
          <cell r="U232">
            <v>13427</v>
          </cell>
          <cell r="V232">
            <v>4565</v>
          </cell>
          <cell r="X232">
            <v>5040</v>
          </cell>
          <cell r="Y232">
            <v>9487</v>
          </cell>
          <cell r="AA232">
            <v>3010</v>
          </cell>
          <cell r="AC232">
            <v>5632</v>
          </cell>
          <cell r="AF232">
            <v>4884</v>
          </cell>
          <cell r="DN232">
            <v>399889</v>
          </cell>
          <cell r="DO232">
            <v>232</v>
          </cell>
        </row>
        <row r="233">
          <cell r="A233" t="str">
            <v>Modesto, CA Metro Area</v>
          </cell>
          <cell r="B233">
            <v>9250</v>
          </cell>
          <cell r="C233">
            <v>56019</v>
          </cell>
          <cell r="D233">
            <v>70380</v>
          </cell>
          <cell r="E233">
            <v>67479</v>
          </cell>
          <cell r="F233">
            <v>53035</v>
          </cell>
          <cell r="G233">
            <v>11860</v>
          </cell>
          <cell r="H233">
            <v>29437</v>
          </cell>
          <cell r="I233">
            <v>14558</v>
          </cell>
          <cell r="L233">
            <v>7322</v>
          </cell>
          <cell r="M233">
            <v>28647</v>
          </cell>
          <cell r="N233">
            <v>32868</v>
          </cell>
          <cell r="O233">
            <v>37654</v>
          </cell>
          <cell r="P233">
            <v>19241</v>
          </cell>
          <cell r="T233">
            <v>1564</v>
          </cell>
          <cell r="X233">
            <v>7522</v>
          </cell>
          <cell r="DN233">
            <v>446836</v>
          </cell>
          <cell r="DO233">
            <v>233</v>
          </cell>
        </row>
        <row r="234">
          <cell r="A234" t="str">
            <v>Monroe, LA Metro Area</v>
          </cell>
          <cell r="B234">
            <v>3873</v>
          </cell>
          <cell r="C234">
            <v>25194</v>
          </cell>
          <cell r="D234">
            <v>23845</v>
          </cell>
          <cell r="E234">
            <v>28958</v>
          </cell>
          <cell r="F234">
            <v>6439</v>
          </cell>
          <cell r="G234">
            <v>10115</v>
          </cell>
          <cell r="H234">
            <v>5751</v>
          </cell>
          <cell r="I234">
            <v>13076</v>
          </cell>
          <cell r="J234">
            <v>10295</v>
          </cell>
          <cell r="K234">
            <v>4251</v>
          </cell>
          <cell r="L234">
            <v>6993</v>
          </cell>
          <cell r="O234">
            <v>6961</v>
          </cell>
          <cell r="Q234">
            <v>1505</v>
          </cell>
          <cell r="T234">
            <v>7815</v>
          </cell>
          <cell r="AA234">
            <v>3921</v>
          </cell>
          <cell r="AD234">
            <v>4028</v>
          </cell>
          <cell r="AI234">
            <v>2861</v>
          </cell>
          <cell r="AQ234">
            <v>4169</v>
          </cell>
          <cell r="DN234">
            <v>170050</v>
          </cell>
          <cell r="DO234">
            <v>234</v>
          </cell>
        </row>
        <row r="235">
          <cell r="A235" t="str">
            <v>Monroe, MI Metro Area</v>
          </cell>
          <cell r="B235">
            <v>9993</v>
          </cell>
          <cell r="C235">
            <v>22853</v>
          </cell>
          <cell r="D235">
            <v>7593</v>
          </cell>
          <cell r="E235">
            <v>8496</v>
          </cell>
          <cell r="G235">
            <v>12448</v>
          </cell>
          <cell r="H235">
            <v>4870</v>
          </cell>
          <cell r="J235">
            <v>6500</v>
          </cell>
          <cell r="K235">
            <v>7864</v>
          </cell>
          <cell r="L235">
            <v>3435</v>
          </cell>
          <cell r="M235">
            <v>8017</v>
          </cell>
          <cell r="N235">
            <v>6813</v>
          </cell>
          <cell r="O235">
            <v>9379</v>
          </cell>
          <cell r="P235">
            <v>9513</v>
          </cell>
          <cell r="Q235">
            <v>14132</v>
          </cell>
          <cell r="R235">
            <v>6175</v>
          </cell>
          <cell r="T235">
            <v>7860</v>
          </cell>
          <cell r="DN235">
            <v>145941</v>
          </cell>
          <cell r="DO235">
            <v>235</v>
          </cell>
        </row>
        <row r="236">
          <cell r="A236" t="str">
            <v>Montgomery, AL Metro Area</v>
          </cell>
          <cell r="B236">
            <v>3718</v>
          </cell>
          <cell r="C236">
            <v>24929</v>
          </cell>
          <cell r="D236">
            <v>36551</v>
          </cell>
          <cell r="E236">
            <v>32801</v>
          </cell>
          <cell r="F236">
            <v>24484</v>
          </cell>
          <cell r="G236">
            <v>25227</v>
          </cell>
          <cell r="H236">
            <v>36675</v>
          </cell>
          <cell r="I236">
            <v>4968</v>
          </cell>
          <cell r="J236">
            <v>19775</v>
          </cell>
          <cell r="K236">
            <v>16833</v>
          </cell>
          <cell r="L236">
            <v>8883</v>
          </cell>
          <cell r="M236">
            <v>14581</v>
          </cell>
          <cell r="N236">
            <v>19449</v>
          </cell>
          <cell r="O236">
            <v>5444</v>
          </cell>
          <cell r="P236">
            <v>10393</v>
          </cell>
          <cell r="Q236">
            <v>674</v>
          </cell>
          <cell r="R236">
            <v>14755</v>
          </cell>
          <cell r="S236">
            <v>3964</v>
          </cell>
          <cell r="W236">
            <v>4652</v>
          </cell>
          <cell r="X236">
            <v>4320</v>
          </cell>
          <cell r="Y236">
            <v>17197</v>
          </cell>
          <cell r="AA236">
            <v>5407</v>
          </cell>
          <cell r="AE236">
            <v>10895</v>
          </cell>
          <cell r="DN236">
            <v>346575</v>
          </cell>
          <cell r="DO236">
            <v>236</v>
          </cell>
        </row>
        <row r="237">
          <cell r="A237" t="str">
            <v>Morgantown, WV Metro Area</v>
          </cell>
          <cell r="B237">
            <v>18877</v>
          </cell>
          <cell r="C237">
            <v>16433</v>
          </cell>
          <cell r="D237">
            <v>6692</v>
          </cell>
          <cell r="E237">
            <v>10504</v>
          </cell>
          <cell r="F237">
            <v>6740</v>
          </cell>
          <cell r="G237">
            <v>4166</v>
          </cell>
          <cell r="H237">
            <v>10585</v>
          </cell>
          <cell r="I237">
            <v>3009</v>
          </cell>
          <cell r="M237">
            <v>3574</v>
          </cell>
          <cell r="P237">
            <v>4063</v>
          </cell>
          <cell r="Q237">
            <v>4878</v>
          </cell>
          <cell r="R237">
            <v>3154</v>
          </cell>
          <cell r="S237">
            <v>3872</v>
          </cell>
          <cell r="U237">
            <v>3780</v>
          </cell>
          <cell r="X237">
            <v>6755</v>
          </cell>
          <cell r="AD237">
            <v>4117</v>
          </cell>
          <cell r="DN237">
            <v>111199</v>
          </cell>
          <cell r="DO237">
            <v>237</v>
          </cell>
        </row>
        <row r="238">
          <cell r="A238" t="str">
            <v>Morristown, TN Metro Area</v>
          </cell>
          <cell r="B238">
            <v>13298</v>
          </cell>
          <cell r="C238">
            <v>5940</v>
          </cell>
          <cell r="D238">
            <v>6549</v>
          </cell>
          <cell r="E238">
            <v>10366</v>
          </cell>
          <cell r="F238">
            <v>6841</v>
          </cell>
          <cell r="G238">
            <v>5996</v>
          </cell>
          <cell r="H238">
            <v>4687</v>
          </cell>
          <cell r="I238">
            <v>9153</v>
          </cell>
          <cell r="J238">
            <v>10009</v>
          </cell>
          <cell r="K238">
            <v>2464</v>
          </cell>
          <cell r="M238">
            <v>5646</v>
          </cell>
          <cell r="N238">
            <v>7169</v>
          </cell>
          <cell r="O238">
            <v>4428</v>
          </cell>
          <cell r="P238">
            <v>5503</v>
          </cell>
          <cell r="R238">
            <v>7390</v>
          </cell>
          <cell r="S238">
            <v>3688</v>
          </cell>
          <cell r="T238">
            <v>5262</v>
          </cell>
          <cell r="V238">
            <v>3990</v>
          </cell>
          <cell r="X238">
            <v>4669</v>
          </cell>
          <cell r="DN238">
            <v>123048</v>
          </cell>
          <cell r="DO238">
            <v>238</v>
          </cell>
        </row>
        <row r="239">
          <cell r="A239" t="str">
            <v>Mount Vernon-Anacortes, WA Metro Area</v>
          </cell>
          <cell r="B239">
            <v>9264</v>
          </cell>
          <cell r="C239">
            <v>15591</v>
          </cell>
          <cell r="D239">
            <v>4711</v>
          </cell>
          <cell r="E239">
            <v>6742</v>
          </cell>
          <cell r="F239">
            <v>3120</v>
          </cell>
          <cell r="G239">
            <v>10319</v>
          </cell>
          <cell r="H239">
            <v>3877</v>
          </cell>
          <cell r="I239">
            <v>3875</v>
          </cell>
          <cell r="J239">
            <v>10362</v>
          </cell>
          <cell r="M239">
            <v>9304</v>
          </cell>
          <cell r="N239">
            <v>4325</v>
          </cell>
          <cell r="O239">
            <v>2400</v>
          </cell>
          <cell r="P239">
            <v>4013</v>
          </cell>
          <cell r="Q239">
            <v>5906</v>
          </cell>
          <cell r="R239">
            <v>4683</v>
          </cell>
          <cell r="AF239">
            <v>4525</v>
          </cell>
          <cell r="DN239">
            <v>103017</v>
          </cell>
          <cell r="DO239">
            <v>239</v>
          </cell>
        </row>
        <row r="240">
          <cell r="A240" t="str">
            <v>Muncie, IN Metro Area</v>
          </cell>
          <cell r="B240">
            <v>12451</v>
          </cell>
          <cell r="C240">
            <v>39619</v>
          </cell>
          <cell r="D240">
            <v>17370</v>
          </cell>
          <cell r="E240">
            <v>1688</v>
          </cell>
          <cell r="F240">
            <v>14601</v>
          </cell>
          <cell r="G240">
            <v>15214</v>
          </cell>
          <cell r="I240">
            <v>5582</v>
          </cell>
          <cell r="J240">
            <v>4109</v>
          </cell>
          <cell r="K240">
            <v>5126</v>
          </cell>
          <cell r="L240">
            <v>3004</v>
          </cell>
          <cell r="DN240">
            <v>118764</v>
          </cell>
          <cell r="DO240">
            <v>240</v>
          </cell>
        </row>
        <row r="241">
          <cell r="A241" t="str">
            <v>Muskegon-Norton Shores, MI Metro Area</v>
          </cell>
          <cell r="B241">
            <v>14706</v>
          </cell>
          <cell r="C241">
            <v>22384</v>
          </cell>
          <cell r="D241">
            <v>14953</v>
          </cell>
          <cell r="E241">
            <v>37659</v>
          </cell>
          <cell r="F241">
            <v>15482</v>
          </cell>
          <cell r="G241">
            <v>11332</v>
          </cell>
          <cell r="H241">
            <v>7782</v>
          </cell>
          <cell r="I241">
            <v>4206</v>
          </cell>
          <cell r="J241">
            <v>9085</v>
          </cell>
          <cell r="K241">
            <v>5170</v>
          </cell>
          <cell r="M241">
            <v>10777</v>
          </cell>
          <cell r="N241">
            <v>5333</v>
          </cell>
          <cell r="O241">
            <v>5159</v>
          </cell>
          <cell r="R241">
            <v>1908</v>
          </cell>
          <cell r="T241">
            <v>4272</v>
          </cell>
          <cell r="DN241">
            <v>170208</v>
          </cell>
          <cell r="DO241">
            <v>241</v>
          </cell>
        </row>
        <row r="242">
          <cell r="A242" t="str">
            <v>Myrtle Beach-North Myrtle Beach-Conway, SC Metro Area</v>
          </cell>
          <cell r="B242">
            <v>5225</v>
          </cell>
          <cell r="C242">
            <v>5330</v>
          </cell>
          <cell r="D242">
            <v>7507</v>
          </cell>
          <cell r="E242">
            <v>3864</v>
          </cell>
          <cell r="F242">
            <v>13223</v>
          </cell>
          <cell r="G242">
            <v>9420</v>
          </cell>
          <cell r="H242">
            <v>8576</v>
          </cell>
          <cell r="I242">
            <v>5779</v>
          </cell>
          <cell r="J242">
            <v>19800</v>
          </cell>
          <cell r="K242">
            <v>6119</v>
          </cell>
          <cell r="L242">
            <v>15980</v>
          </cell>
          <cell r="M242">
            <v>6491</v>
          </cell>
          <cell r="N242">
            <v>4993</v>
          </cell>
          <cell r="O242">
            <v>5783</v>
          </cell>
          <cell r="P242">
            <v>9015</v>
          </cell>
          <cell r="Q242">
            <v>6436</v>
          </cell>
          <cell r="R242">
            <v>9021</v>
          </cell>
          <cell r="S242">
            <v>8797</v>
          </cell>
          <cell r="T242">
            <v>9959</v>
          </cell>
          <cell r="U242">
            <v>6582</v>
          </cell>
          <cell r="V242">
            <v>2052</v>
          </cell>
          <cell r="W242">
            <v>783</v>
          </cell>
          <cell r="X242">
            <v>5714</v>
          </cell>
          <cell r="Z242">
            <v>9022</v>
          </cell>
          <cell r="AB242">
            <v>3081</v>
          </cell>
          <cell r="AC242">
            <v>2252</v>
          </cell>
          <cell r="AE242">
            <v>2586</v>
          </cell>
          <cell r="AJ242">
            <v>3168</v>
          </cell>
          <cell r="DN242">
            <v>196558</v>
          </cell>
          <cell r="DO242">
            <v>242</v>
          </cell>
        </row>
        <row r="243">
          <cell r="A243" t="str">
            <v>Napa, CA Metro Area</v>
          </cell>
          <cell r="B243">
            <v>16390</v>
          </cell>
          <cell r="C243">
            <v>36430</v>
          </cell>
          <cell r="D243">
            <v>16185</v>
          </cell>
          <cell r="E243">
            <v>10586</v>
          </cell>
          <cell r="F243">
            <v>4532</v>
          </cell>
          <cell r="G243">
            <v>3353</v>
          </cell>
          <cell r="J243">
            <v>8360</v>
          </cell>
          <cell r="K243">
            <v>6457</v>
          </cell>
          <cell r="Q243">
            <v>2188</v>
          </cell>
          <cell r="R243">
            <v>2375</v>
          </cell>
          <cell r="S243">
            <v>3610</v>
          </cell>
          <cell r="T243">
            <v>1724</v>
          </cell>
          <cell r="V243">
            <v>5631</v>
          </cell>
          <cell r="AA243">
            <v>5146</v>
          </cell>
          <cell r="AB243">
            <v>1377</v>
          </cell>
          <cell r="DN243">
            <v>124344</v>
          </cell>
          <cell r="DO243">
            <v>243</v>
          </cell>
        </row>
        <row r="244">
          <cell r="A244" t="str">
            <v>Naples-Marco Island, FL Metro Area</v>
          </cell>
          <cell r="B244">
            <v>6399</v>
          </cell>
          <cell r="C244">
            <v>9244</v>
          </cell>
          <cell r="D244">
            <v>23406</v>
          </cell>
          <cell r="E244">
            <v>22406</v>
          </cell>
          <cell r="F244">
            <v>15474</v>
          </cell>
          <cell r="G244">
            <v>11671</v>
          </cell>
          <cell r="H244">
            <v>35794</v>
          </cell>
          <cell r="I244">
            <v>22706</v>
          </cell>
          <cell r="J244">
            <v>11952</v>
          </cell>
          <cell r="K244">
            <v>10407</v>
          </cell>
          <cell r="L244">
            <v>9338</v>
          </cell>
          <cell r="M244">
            <v>11192</v>
          </cell>
          <cell r="N244">
            <v>13113</v>
          </cell>
          <cell r="O244">
            <v>3675</v>
          </cell>
          <cell r="P244">
            <v>9147</v>
          </cell>
          <cell r="Q244">
            <v>6082</v>
          </cell>
          <cell r="R244">
            <v>1491</v>
          </cell>
          <cell r="T244">
            <v>5886</v>
          </cell>
          <cell r="AE244">
            <v>14078</v>
          </cell>
          <cell r="AF244">
            <v>7947</v>
          </cell>
          <cell r="DN244">
            <v>251408</v>
          </cell>
          <cell r="DO244">
            <v>244</v>
          </cell>
        </row>
        <row r="245">
          <cell r="A245" t="str">
            <v>Nashville-Davidson--Murfreesboro--Franklin, TN Metro Area</v>
          </cell>
          <cell r="B245">
            <v>8086</v>
          </cell>
          <cell r="C245">
            <v>40714</v>
          </cell>
          <cell r="D245">
            <v>48849</v>
          </cell>
          <cell r="E245">
            <v>58571</v>
          </cell>
          <cell r="F245">
            <v>50119</v>
          </cell>
          <cell r="G245">
            <v>50720</v>
          </cell>
          <cell r="H245">
            <v>43858</v>
          </cell>
          <cell r="I245">
            <v>37138</v>
          </cell>
          <cell r="J245">
            <v>60210</v>
          </cell>
          <cell r="K245">
            <v>66351</v>
          </cell>
          <cell r="L245">
            <v>56616</v>
          </cell>
          <cell r="M245">
            <v>47472</v>
          </cell>
          <cell r="N245">
            <v>34121</v>
          </cell>
          <cell r="O245">
            <v>45701</v>
          </cell>
          <cell r="P245">
            <v>33794</v>
          </cell>
          <cell r="Q245">
            <v>38832</v>
          </cell>
          <cell r="R245">
            <v>24312</v>
          </cell>
          <cell r="S245">
            <v>33368</v>
          </cell>
          <cell r="T245">
            <v>35943</v>
          </cell>
          <cell r="U245">
            <v>23655</v>
          </cell>
          <cell r="V245">
            <v>26898</v>
          </cell>
          <cell r="W245">
            <v>19814</v>
          </cell>
          <cell r="X245">
            <v>28076</v>
          </cell>
          <cell r="Y245">
            <v>31379</v>
          </cell>
          <cell r="Z245">
            <v>31003</v>
          </cell>
          <cell r="AA245">
            <v>6631</v>
          </cell>
          <cell r="AB245">
            <v>29875</v>
          </cell>
          <cell r="AC245">
            <v>12826</v>
          </cell>
          <cell r="AD245">
            <v>34381</v>
          </cell>
          <cell r="AE245">
            <v>24979</v>
          </cell>
          <cell r="AF245">
            <v>21128</v>
          </cell>
          <cell r="AG245">
            <v>28854</v>
          </cell>
          <cell r="AH245">
            <v>28234</v>
          </cell>
          <cell r="AI245">
            <v>16066</v>
          </cell>
          <cell r="AJ245">
            <v>16907</v>
          </cell>
          <cell r="AK245">
            <v>18472</v>
          </cell>
          <cell r="AL245">
            <v>8880</v>
          </cell>
          <cell r="AM245">
            <v>7354</v>
          </cell>
          <cell r="AN245">
            <v>10123</v>
          </cell>
          <cell r="AP245">
            <v>8857</v>
          </cell>
          <cell r="AR245">
            <v>4961</v>
          </cell>
          <cell r="AS245">
            <v>3952</v>
          </cell>
          <cell r="AT245">
            <v>4574</v>
          </cell>
          <cell r="AU245">
            <v>10571</v>
          </cell>
          <cell r="AV245">
            <v>2948</v>
          </cell>
          <cell r="AW245">
            <v>6118</v>
          </cell>
          <cell r="AX245">
            <v>10462</v>
          </cell>
          <cell r="AY245">
            <v>5020</v>
          </cell>
          <cell r="AZ245">
            <v>2177</v>
          </cell>
          <cell r="BA245">
            <v>2044</v>
          </cell>
          <cell r="BB245">
            <v>3089</v>
          </cell>
          <cell r="BE245">
            <v>2025</v>
          </cell>
          <cell r="BF245">
            <v>4756</v>
          </cell>
          <cell r="DN245">
            <v>1311864</v>
          </cell>
          <cell r="DO245">
            <v>245</v>
          </cell>
        </row>
        <row r="246">
          <cell r="A246" t="str">
            <v>New Haven-Milford, CT Metro Area</v>
          </cell>
          <cell r="B246">
            <v>34538</v>
          </cell>
          <cell r="C246">
            <v>50886</v>
          </cell>
          <cell r="D246">
            <v>64333</v>
          </cell>
          <cell r="E246">
            <v>57396</v>
          </cell>
          <cell r="F246">
            <v>36093</v>
          </cell>
          <cell r="G246">
            <v>35107</v>
          </cell>
          <cell r="H246">
            <v>35604</v>
          </cell>
          <cell r="I246">
            <v>55582</v>
          </cell>
          <cell r="J246">
            <v>29719</v>
          </cell>
          <cell r="K246">
            <v>27044</v>
          </cell>
          <cell r="L246">
            <v>23137</v>
          </cell>
          <cell r="M246">
            <v>41366</v>
          </cell>
          <cell r="N246">
            <v>44624</v>
          </cell>
          <cell r="O246">
            <v>22381</v>
          </cell>
          <cell r="P246">
            <v>31146</v>
          </cell>
          <cell r="Q246">
            <v>24563</v>
          </cell>
          <cell r="R246">
            <v>46153</v>
          </cell>
          <cell r="S246">
            <v>64574</v>
          </cell>
          <cell r="T246">
            <v>55218</v>
          </cell>
          <cell r="U246">
            <v>12421</v>
          </cell>
          <cell r="V246">
            <v>24829</v>
          </cell>
          <cell r="W246">
            <v>7279</v>
          </cell>
          <cell r="DN246">
            <v>823993</v>
          </cell>
          <cell r="DO246">
            <v>246</v>
          </cell>
        </row>
        <row r="247">
          <cell r="A247" t="str">
            <v>New Orleans-Metairie-Kenner, LA Metro Area</v>
          </cell>
          <cell r="B247">
            <v>23714</v>
          </cell>
          <cell r="C247">
            <v>92479</v>
          </cell>
          <cell r="D247">
            <v>113607</v>
          </cell>
          <cell r="E247">
            <v>116624</v>
          </cell>
          <cell r="F247">
            <v>106236</v>
          </cell>
          <cell r="G247">
            <v>110229</v>
          </cell>
          <cell r="H247">
            <v>121764</v>
          </cell>
          <cell r="I247">
            <v>82651</v>
          </cell>
          <cell r="J247">
            <v>67607</v>
          </cell>
          <cell r="K247">
            <v>67033</v>
          </cell>
          <cell r="L247">
            <v>28598</v>
          </cell>
          <cell r="M247">
            <v>43933</v>
          </cell>
          <cell r="N247">
            <v>31810</v>
          </cell>
          <cell r="O247">
            <v>4745</v>
          </cell>
          <cell r="P247">
            <v>2891</v>
          </cell>
          <cell r="Q247">
            <v>4891</v>
          </cell>
          <cell r="R247">
            <v>9671</v>
          </cell>
          <cell r="S247">
            <v>5650</v>
          </cell>
          <cell r="T247">
            <v>19084</v>
          </cell>
          <cell r="V247">
            <v>3410</v>
          </cell>
          <cell r="W247">
            <v>3592</v>
          </cell>
          <cell r="X247">
            <v>1338</v>
          </cell>
          <cell r="Y247">
            <v>6493</v>
          </cell>
          <cell r="Z247">
            <v>2306</v>
          </cell>
          <cell r="AA247">
            <v>18234</v>
          </cell>
          <cell r="AB247">
            <v>15848</v>
          </cell>
          <cell r="AC247">
            <v>26781</v>
          </cell>
          <cell r="AD247">
            <v>24100</v>
          </cell>
          <cell r="AE247">
            <v>17531</v>
          </cell>
          <cell r="AF247">
            <v>36113</v>
          </cell>
          <cell r="AG247">
            <v>19530</v>
          </cell>
          <cell r="AH247">
            <v>4628</v>
          </cell>
          <cell r="AI247">
            <v>15053</v>
          </cell>
          <cell r="AJ247">
            <v>9525</v>
          </cell>
          <cell r="AK247">
            <v>14725</v>
          </cell>
          <cell r="AL247">
            <v>3568</v>
          </cell>
          <cell r="AM247">
            <v>10519</v>
          </cell>
          <cell r="AO247">
            <v>2478</v>
          </cell>
          <cell r="AR247">
            <v>5817</v>
          </cell>
          <cell r="AS247">
            <v>5154</v>
          </cell>
          <cell r="AT247">
            <v>4961</v>
          </cell>
          <cell r="AU247">
            <v>3731</v>
          </cell>
          <cell r="AV247">
            <v>2265</v>
          </cell>
          <cell r="BC247">
            <v>3366</v>
          </cell>
          <cell r="BI247">
            <v>2251</v>
          </cell>
          <cell r="DN247">
            <v>1316534</v>
          </cell>
          <cell r="DO247">
            <v>247</v>
          </cell>
        </row>
        <row r="248">
          <cell r="A248" t="str">
            <v>New York-Northern New Jersey-Long Island, NY-NJ-PA Metro Area</v>
          </cell>
          <cell r="B248">
            <v>124072</v>
          </cell>
          <cell r="C248">
            <v>276283</v>
          </cell>
          <cell r="D248">
            <v>412973</v>
          </cell>
          <cell r="E248">
            <v>544719</v>
          </cell>
          <cell r="F248">
            <v>759078</v>
          </cell>
          <cell r="G248">
            <v>998165</v>
          </cell>
          <cell r="H248">
            <v>907759</v>
          </cell>
          <cell r="I248">
            <v>968647</v>
          </cell>
          <cell r="J248">
            <v>713341</v>
          </cell>
          <cell r="K248">
            <v>877247</v>
          </cell>
          <cell r="L248">
            <v>875416</v>
          </cell>
          <cell r="M248">
            <v>811934</v>
          </cell>
          <cell r="N248">
            <v>782684</v>
          </cell>
          <cell r="O248">
            <v>534317</v>
          </cell>
          <cell r="P248">
            <v>517823</v>
          </cell>
          <cell r="Q248">
            <v>488603</v>
          </cell>
          <cell r="R248">
            <v>437283</v>
          </cell>
          <cell r="S248">
            <v>348473</v>
          </cell>
          <cell r="T248">
            <v>281446</v>
          </cell>
          <cell r="U248">
            <v>356692</v>
          </cell>
          <cell r="V248">
            <v>335861</v>
          </cell>
          <cell r="W248">
            <v>291451</v>
          </cell>
          <cell r="X248">
            <v>268908</v>
          </cell>
          <cell r="Y248">
            <v>290838</v>
          </cell>
          <cell r="Z248">
            <v>266566</v>
          </cell>
          <cell r="AA248">
            <v>272953</v>
          </cell>
          <cell r="AB248">
            <v>276155</v>
          </cell>
          <cell r="AC248">
            <v>291289</v>
          </cell>
          <cell r="AD248">
            <v>266828</v>
          </cell>
          <cell r="AE248">
            <v>179314</v>
          </cell>
          <cell r="AF248">
            <v>211406</v>
          </cell>
          <cell r="AG248">
            <v>157124</v>
          </cell>
          <cell r="AH248">
            <v>184744</v>
          </cell>
          <cell r="AI248">
            <v>169658</v>
          </cell>
          <cell r="AJ248">
            <v>170648</v>
          </cell>
          <cell r="AK248">
            <v>167498</v>
          </cell>
          <cell r="AL248">
            <v>151134</v>
          </cell>
          <cell r="AM248">
            <v>143476</v>
          </cell>
          <cell r="AN248">
            <v>86239</v>
          </cell>
          <cell r="AO248">
            <v>131911</v>
          </cell>
          <cell r="AP248">
            <v>163251</v>
          </cell>
          <cell r="AQ248">
            <v>123181</v>
          </cell>
          <cell r="AR248">
            <v>111101</v>
          </cell>
          <cell r="AS248">
            <v>149345</v>
          </cell>
          <cell r="AT248">
            <v>61323</v>
          </cell>
          <cell r="AU248">
            <v>75525</v>
          </cell>
          <cell r="AV248">
            <v>111500</v>
          </cell>
          <cell r="AW248">
            <v>107973</v>
          </cell>
          <cell r="AX248">
            <v>100848</v>
          </cell>
          <cell r="AY248">
            <v>73576</v>
          </cell>
          <cell r="AZ248">
            <v>83192</v>
          </cell>
          <cell r="BA248">
            <v>98237</v>
          </cell>
          <cell r="BB248">
            <v>72999</v>
          </cell>
          <cell r="BC248">
            <v>84262</v>
          </cell>
          <cell r="BD248">
            <v>83910</v>
          </cell>
          <cell r="BE248">
            <v>47871</v>
          </cell>
          <cell r="BF248">
            <v>26072</v>
          </cell>
          <cell r="BG248">
            <v>35868</v>
          </cell>
          <cell r="BH248">
            <v>12925</v>
          </cell>
          <cell r="BI248">
            <v>58988</v>
          </cell>
          <cell r="BJ248">
            <v>25521</v>
          </cell>
          <cell r="BK248">
            <v>32647</v>
          </cell>
          <cell r="BL248">
            <v>8327</v>
          </cell>
          <cell r="BM248">
            <v>19573</v>
          </cell>
          <cell r="BN248">
            <v>13689</v>
          </cell>
          <cell r="BO248">
            <v>5295</v>
          </cell>
          <cell r="BP248">
            <v>9083</v>
          </cell>
          <cell r="BQ248">
            <v>5308</v>
          </cell>
          <cell r="BR248">
            <v>24855</v>
          </cell>
          <cell r="BS248">
            <v>10380</v>
          </cell>
          <cell r="BT248">
            <v>4702</v>
          </cell>
          <cell r="BU248">
            <v>11674</v>
          </cell>
          <cell r="BV248">
            <v>12060</v>
          </cell>
          <cell r="BW248">
            <v>8848</v>
          </cell>
          <cell r="BX248">
            <v>4518</v>
          </cell>
          <cell r="BY248">
            <v>5735</v>
          </cell>
          <cell r="BZ248">
            <v>1856</v>
          </cell>
          <cell r="CA248">
            <v>10097</v>
          </cell>
          <cell r="CB248">
            <v>17255</v>
          </cell>
          <cell r="CC248">
            <v>5051</v>
          </cell>
          <cell r="CD248">
            <v>11447</v>
          </cell>
          <cell r="CE248">
            <v>3854</v>
          </cell>
          <cell r="CF248">
            <v>8438</v>
          </cell>
          <cell r="CG248">
            <v>0</v>
          </cell>
          <cell r="CH248">
            <v>4426</v>
          </cell>
          <cell r="CI248">
            <v>9423</v>
          </cell>
          <cell r="CL248">
            <v>4659</v>
          </cell>
          <cell r="CM248">
            <v>1902</v>
          </cell>
          <cell r="CN248">
            <v>5534</v>
          </cell>
          <cell r="CO248">
            <v>2110</v>
          </cell>
          <cell r="CP248">
            <v>3578</v>
          </cell>
          <cell r="CS248">
            <v>6213</v>
          </cell>
          <cell r="CT248">
            <v>1353</v>
          </cell>
          <cell r="CU248">
            <v>8267</v>
          </cell>
          <cell r="CW248">
            <v>3845</v>
          </cell>
          <cell r="DN248">
            <v>18324426</v>
          </cell>
          <cell r="DO248">
            <v>248</v>
          </cell>
        </row>
        <row r="249">
          <cell r="A249" t="str">
            <v>Niles-Benton Harbor, MI Metro Area</v>
          </cell>
          <cell r="B249">
            <v>13692</v>
          </cell>
          <cell r="C249">
            <v>4732</v>
          </cell>
          <cell r="D249">
            <v>3408</v>
          </cell>
          <cell r="E249">
            <v>2101</v>
          </cell>
          <cell r="F249">
            <v>1617</v>
          </cell>
          <cell r="G249">
            <v>7939</v>
          </cell>
          <cell r="I249">
            <v>2637</v>
          </cell>
          <cell r="J249">
            <v>5077</v>
          </cell>
          <cell r="L249">
            <v>9859</v>
          </cell>
          <cell r="O249">
            <v>4051</v>
          </cell>
          <cell r="P249">
            <v>4960</v>
          </cell>
          <cell r="R249">
            <v>6048</v>
          </cell>
          <cell r="S249">
            <v>9524</v>
          </cell>
          <cell r="T249">
            <v>5301</v>
          </cell>
          <cell r="U249">
            <v>18550</v>
          </cell>
          <cell r="V249">
            <v>13934</v>
          </cell>
          <cell r="W249">
            <v>13081</v>
          </cell>
          <cell r="X249">
            <v>13086</v>
          </cell>
          <cell r="Y249">
            <v>2205</v>
          </cell>
          <cell r="AA249">
            <v>16754</v>
          </cell>
          <cell r="AB249">
            <v>3935</v>
          </cell>
          <cell r="DN249">
            <v>162491</v>
          </cell>
          <cell r="DO249">
            <v>249</v>
          </cell>
        </row>
        <row r="250">
          <cell r="A250" t="str">
            <v>North Port-Bradenton-Sarasota, FL Metro Area</v>
          </cell>
          <cell r="C250">
            <v>5811</v>
          </cell>
          <cell r="D250">
            <v>10476</v>
          </cell>
          <cell r="E250">
            <v>8798</v>
          </cell>
          <cell r="F250">
            <v>2559</v>
          </cell>
          <cell r="K250">
            <v>5914</v>
          </cell>
          <cell r="L250">
            <v>6129</v>
          </cell>
          <cell r="M250">
            <v>11700</v>
          </cell>
          <cell r="N250">
            <v>26830</v>
          </cell>
          <cell r="O250">
            <v>9449</v>
          </cell>
          <cell r="P250">
            <v>9445</v>
          </cell>
          <cell r="Q250">
            <v>9957</v>
          </cell>
          <cell r="R250">
            <v>12730</v>
          </cell>
          <cell r="T250">
            <v>4339</v>
          </cell>
          <cell r="U250">
            <v>10072</v>
          </cell>
          <cell r="V250">
            <v>12769</v>
          </cell>
          <cell r="W250">
            <v>22553</v>
          </cell>
          <cell r="X250">
            <v>26392</v>
          </cell>
          <cell r="Y250">
            <v>19845</v>
          </cell>
          <cell r="Z250">
            <v>26501</v>
          </cell>
          <cell r="AA250">
            <v>26842</v>
          </cell>
          <cell r="AB250">
            <v>18389</v>
          </cell>
          <cell r="AC250">
            <v>32530</v>
          </cell>
          <cell r="AD250">
            <v>16925</v>
          </cell>
          <cell r="AE250">
            <v>11863</v>
          </cell>
          <cell r="AF250">
            <v>4873</v>
          </cell>
          <cell r="AG250">
            <v>15349</v>
          </cell>
          <cell r="AH250">
            <v>18652</v>
          </cell>
          <cell r="AI250">
            <v>28117</v>
          </cell>
          <cell r="AJ250">
            <v>29715</v>
          </cell>
          <cell r="AK250">
            <v>30267</v>
          </cell>
          <cell r="AL250">
            <v>23837</v>
          </cell>
          <cell r="AM250">
            <v>31847</v>
          </cell>
          <cell r="AN250">
            <v>27720</v>
          </cell>
          <cell r="AO250">
            <v>10444</v>
          </cell>
          <cell r="AP250">
            <v>9641</v>
          </cell>
          <cell r="AQ250">
            <v>2309</v>
          </cell>
          <cell r="AR250">
            <v>2454</v>
          </cell>
          <cell r="AT250">
            <v>5957</v>
          </cell>
          <cell r="DN250">
            <v>590000</v>
          </cell>
          <cell r="DO250">
            <v>250</v>
          </cell>
        </row>
        <row r="251">
          <cell r="A251" t="str">
            <v>Norwich-New London, CT Metro Area</v>
          </cell>
          <cell r="B251">
            <v>10434</v>
          </cell>
          <cell r="C251">
            <v>14560</v>
          </cell>
          <cell r="D251">
            <v>6633</v>
          </cell>
          <cell r="E251">
            <v>13683</v>
          </cell>
          <cell r="G251">
            <v>10966</v>
          </cell>
          <cell r="H251">
            <v>16087</v>
          </cell>
          <cell r="I251">
            <v>17959</v>
          </cell>
          <cell r="J251">
            <v>8134</v>
          </cell>
          <cell r="K251">
            <v>5984</v>
          </cell>
          <cell r="L251">
            <v>23250</v>
          </cell>
          <cell r="M251">
            <v>31299</v>
          </cell>
          <cell r="N251">
            <v>27110</v>
          </cell>
          <cell r="O251">
            <v>22584</v>
          </cell>
          <cell r="P251">
            <v>11060</v>
          </cell>
          <cell r="Q251">
            <v>24480</v>
          </cell>
          <cell r="R251">
            <v>5939</v>
          </cell>
          <cell r="S251">
            <v>1522</v>
          </cell>
          <cell r="T251">
            <v>7408</v>
          </cell>
          <cell r="DN251">
            <v>259092</v>
          </cell>
          <cell r="DO251">
            <v>251</v>
          </cell>
        </row>
        <row r="252">
          <cell r="A252" t="str">
            <v>Ocala, FL Metro Area</v>
          </cell>
          <cell r="B252">
            <v>7489</v>
          </cell>
          <cell r="C252">
            <v>19388</v>
          </cell>
          <cell r="D252">
            <v>15200</v>
          </cell>
          <cell r="E252">
            <v>15123</v>
          </cell>
          <cell r="F252">
            <v>28429</v>
          </cell>
          <cell r="G252">
            <v>8938</v>
          </cell>
          <cell r="H252">
            <v>10874</v>
          </cell>
          <cell r="I252">
            <v>9364</v>
          </cell>
          <cell r="J252">
            <v>13337</v>
          </cell>
          <cell r="K252">
            <v>10690</v>
          </cell>
          <cell r="L252">
            <v>12905</v>
          </cell>
          <cell r="M252">
            <v>11441</v>
          </cell>
          <cell r="N252">
            <v>16364</v>
          </cell>
          <cell r="O252">
            <v>10738</v>
          </cell>
          <cell r="P252">
            <v>9121</v>
          </cell>
          <cell r="Q252">
            <v>18270</v>
          </cell>
          <cell r="R252">
            <v>10858</v>
          </cell>
          <cell r="S252">
            <v>7645</v>
          </cell>
          <cell r="T252">
            <v>5273</v>
          </cell>
          <cell r="U252">
            <v>5582</v>
          </cell>
          <cell r="V252">
            <v>4917</v>
          </cell>
          <cell r="Z252">
            <v>1846</v>
          </cell>
          <cell r="AA252">
            <v>0</v>
          </cell>
          <cell r="AB252">
            <v>5087</v>
          </cell>
          <cell r="AE252">
            <v>0</v>
          </cell>
          <cell r="DN252">
            <v>258879</v>
          </cell>
          <cell r="DO252">
            <v>252</v>
          </cell>
        </row>
        <row r="253">
          <cell r="A253" t="str">
            <v>Ocean City, NJ Metro Area</v>
          </cell>
          <cell r="B253">
            <v>8022</v>
          </cell>
          <cell r="C253">
            <v>4717</v>
          </cell>
          <cell r="D253">
            <v>1203</v>
          </cell>
          <cell r="F253">
            <v>6103</v>
          </cell>
          <cell r="I253">
            <v>4648</v>
          </cell>
          <cell r="K253">
            <v>2811</v>
          </cell>
          <cell r="M253">
            <v>2839</v>
          </cell>
          <cell r="N253">
            <v>4374</v>
          </cell>
          <cell r="O253">
            <v>2698</v>
          </cell>
          <cell r="Q253">
            <v>6220</v>
          </cell>
          <cell r="T253">
            <v>1126</v>
          </cell>
          <cell r="U253">
            <v>7763</v>
          </cell>
          <cell r="X253">
            <v>4901</v>
          </cell>
          <cell r="Y253">
            <v>8992</v>
          </cell>
          <cell r="Z253">
            <v>3577</v>
          </cell>
          <cell r="AA253">
            <v>3986</v>
          </cell>
          <cell r="AB253">
            <v>11616</v>
          </cell>
          <cell r="AC253">
            <v>2654</v>
          </cell>
          <cell r="AD253">
            <v>7659</v>
          </cell>
          <cell r="AE253">
            <v>4044</v>
          </cell>
          <cell r="AF253">
            <v>2370</v>
          </cell>
          <cell r="DN253">
            <v>102323</v>
          </cell>
          <cell r="DO253">
            <v>253</v>
          </cell>
        </row>
        <row r="254">
          <cell r="A254" t="str">
            <v>Odessa, TX Metro Area</v>
          </cell>
          <cell r="B254">
            <v>13546</v>
          </cell>
          <cell r="C254">
            <v>36705</v>
          </cell>
          <cell r="D254">
            <v>17212</v>
          </cell>
          <cell r="E254">
            <v>24815</v>
          </cell>
          <cell r="F254">
            <v>3157</v>
          </cell>
          <cell r="G254">
            <v>9731</v>
          </cell>
          <cell r="H254">
            <v>12656</v>
          </cell>
          <cell r="J254">
            <v>3302</v>
          </cell>
          <cell r="DN254">
            <v>121124</v>
          </cell>
          <cell r="DO254">
            <v>254</v>
          </cell>
        </row>
        <row r="255">
          <cell r="A255" t="str">
            <v>Ogden-Clearfield, UT Metro Area</v>
          </cell>
          <cell r="B255">
            <v>20670</v>
          </cell>
          <cell r="C255">
            <v>27972</v>
          </cell>
          <cell r="D255">
            <v>22538</v>
          </cell>
          <cell r="E255">
            <v>35630</v>
          </cell>
          <cell r="F255">
            <v>22990</v>
          </cell>
          <cell r="G255">
            <v>28438</v>
          </cell>
          <cell r="H255">
            <v>27805</v>
          </cell>
          <cell r="I255">
            <v>39451</v>
          </cell>
          <cell r="J255">
            <v>27530</v>
          </cell>
          <cell r="K255">
            <v>38093</v>
          </cell>
          <cell r="L255">
            <v>18628</v>
          </cell>
          <cell r="M255">
            <v>9471</v>
          </cell>
          <cell r="N255">
            <v>10057</v>
          </cell>
          <cell r="O255">
            <v>10769</v>
          </cell>
          <cell r="P255">
            <v>6342</v>
          </cell>
          <cell r="Q255">
            <v>3568</v>
          </cell>
          <cell r="R255">
            <v>8834</v>
          </cell>
          <cell r="S255">
            <v>5608</v>
          </cell>
          <cell r="U255">
            <v>4106</v>
          </cell>
          <cell r="V255">
            <v>5635</v>
          </cell>
          <cell r="W255">
            <v>7818</v>
          </cell>
          <cell r="X255">
            <v>5110</v>
          </cell>
          <cell r="Y255">
            <v>13257</v>
          </cell>
          <cell r="Z255">
            <v>17556</v>
          </cell>
          <cell r="AA255">
            <v>18172</v>
          </cell>
          <cell r="AB255">
            <v>6613</v>
          </cell>
          <cell r="DN255">
            <v>442661</v>
          </cell>
          <cell r="DO255">
            <v>255</v>
          </cell>
        </row>
        <row r="256">
          <cell r="A256" t="str">
            <v>Oklahoma City, OK Metro Area</v>
          </cell>
          <cell r="B256">
            <v>5489</v>
          </cell>
          <cell r="C256">
            <v>25380</v>
          </cell>
          <cell r="D256">
            <v>45731</v>
          </cell>
          <cell r="E256">
            <v>57366</v>
          </cell>
          <cell r="F256">
            <v>79303</v>
          </cell>
          <cell r="G256">
            <v>63679</v>
          </cell>
          <cell r="H256">
            <v>86841</v>
          </cell>
          <cell r="I256">
            <v>79909</v>
          </cell>
          <cell r="J256">
            <v>46872</v>
          </cell>
          <cell r="K256">
            <v>64434</v>
          </cell>
          <cell r="L256">
            <v>65992</v>
          </cell>
          <cell r="M256">
            <v>48557</v>
          </cell>
          <cell r="N256">
            <v>38408</v>
          </cell>
          <cell r="O256">
            <v>33467</v>
          </cell>
          <cell r="P256">
            <v>42928</v>
          </cell>
          <cell r="Q256">
            <v>18978</v>
          </cell>
          <cell r="R256">
            <v>15192</v>
          </cell>
          <cell r="S256">
            <v>23755</v>
          </cell>
          <cell r="T256">
            <v>33420</v>
          </cell>
          <cell r="U256">
            <v>30727</v>
          </cell>
          <cell r="V256">
            <v>22332</v>
          </cell>
          <cell r="W256">
            <v>7565</v>
          </cell>
          <cell r="Y256">
            <v>12267</v>
          </cell>
          <cell r="Z256">
            <v>23893</v>
          </cell>
          <cell r="AA256">
            <v>7139</v>
          </cell>
          <cell r="AC256">
            <v>19579</v>
          </cell>
          <cell r="AD256">
            <v>2716</v>
          </cell>
          <cell r="AE256">
            <v>15941</v>
          </cell>
          <cell r="AG256">
            <v>4000</v>
          </cell>
          <cell r="AH256">
            <v>5359</v>
          </cell>
          <cell r="AI256">
            <v>8710</v>
          </cell>
          <cell r="AK256">
            <v>4506</v>
          </cell>
          <cell r="AL256">
            <v>1450</v>
          </cell>
          <cell r="AM256">
            <v>3878</v>
          </cell>
          <cell r="AN256">
            <v>9085</v>
          </cell>
          <cell r="AO256">
            <v>11042</v>
          </cell>
          <cell r="AQ256">
            <v>8785</v>
          </cell>
          <cell r="AR256">
            <v>2799</v>
          </cell>
          <cell r="AU256">
            <v>4598</v>
          </cell>
          <cell r="AV256">
            <v>8658</v>
          </cell>
          <cell r="BB256">
            <v>4823</v>
          </cell>
          <cell r="DN256">
            <v>1095553</v>
          </cell>
          <cell r="DO256">
            <v>256</v>
          </cell>
        </row>
        <row r="257">
          <cell r="A257" t="str">
            <v>Olympia, WA Metro Area</v>
          </cell>
          <cell r="B257">
            <v>8136</v>
          </cell>
          <cell r="C257">
            <v>24291</v>
          </cell>
          <cell r="D257">
            <v>20418</v>
          </cell>
          <cell r="E257">
            <v>19531</v>
          </cell>
          <cell r="F257">
            <v>26992</v>
          </cell>
          <cell r="G257">
            <v>27455</v>
          </cell>
          <cell r="H257">
            <v>19935</v>
          </cell>
          <cell r="I257">
            <v>13525</v>
          </cell>
          <cell r="J257">
            <v>9663</v>
          </cell>
          <cell r="L257">
            <v>4461</v>
          </cell>
          <cell r="O257">
            <v>3254</v>
          </cell>
          <cell r="P257">
            <v>8933</v>
          </cell>
          <cell r="Q257">
            <v>7490</v>
          </cell>
          <cell r="R257">
            <v>1676</v>
          </cell>
          <cell r="S257">
            <v>5026</v>
          </cell>
          <cell r="T257">
            <v>5144</v>
          </cell>
          <cell r="Z257">
            <v>1462</v>
          </cell>
          <cell r="DN257">
            <v>207392</v>
          </cell>
          <cell r="DO257">
            <v>257</v>
          </cell>
        </row>
        <row r="258">
          <cell r="A258" t="str">
            <v>Omaha-Council Bluffs, NE-IA Metro Area</v>
          </cell>
          <cell r="B258">
            <v>15408</v>
          </cell>
          <cell r="C258">
            <v>40869</v>
          </cell>
          <cell r="D258">
            <v>56359</v>
          </cell>
          <cell r="E258">
            <v>56116</v>
          </cell>
          <cell r="F258">
            <v>83595</v>
          </cell>
          <cell r="G258">
            <v>57042</v>
          </cell>
          <cell r="H258">
            <v>43718</v>
          </cell>
          <cell r="I258">
            <v>76451</v>
          </cell>
          <cell r="J258">
            <v>52150</v>
          </cell>
          <cell r="K258">
            <v>48298</v>
          </cell>
          <cell r="L258">
            <v>33148</v>
          </cell>
          <cell r="M258">
            <v>49754</v>
          </cell>
          <cell r="N258">
            <v>11492</v>
          </cell>
          <cell r="O258">
            <v>10925</v>
          </cell>
          <cell r="P258">
            <v>8243</v>
          </cell>
          <cell r="Q258">
            <v>4908</v>
          </cell>
          <cell r="R258">
            <v>14473</v>
          </cell>
          <cell r="S258">
            <v>10911</v>
          </cell>
          <cell r="T258">
            <v>13011</v>
          </cell>
          <cell r="U258">
            <v>1769</v>
          </cell>
          <cell r="V258">
            <v>2045</v>
          </cell>
          <cell r="W258">
            <v>6689</v>
          </cell>
          <cell r="X258">
            <v>10423</v>
          </cell>
          <cell r="Y258">
            <v>2509</v>
          </cell>
          <cell r="Z258">
            <v>4046</v>
          </cell>
          <cell r="AA258">
            <v>4465</v>
          </cell>
          <cell r="AB258">
            <v>4082</v>
          </cell>
          <cell r="AC258">
            <v>9114</v>
          </cell>
          <cell r="AE258">
            <v>7445</v>
          </cell>
          <cell r="AH258">
            <v>3187</v>
          </cell>
          <cell r="AI258">
            <v>3630</v>
          </cell>
          <cell r="AJ258">
            <v>4961</v>
          </cell>
          <cell r="AK258">
            <v>4454</v>
          </cell>
          <cell r="AL258">
            <v>3205</v>
          </cell>
          <cell r="AP258">
            <v>2930</v>
          </cell>
          <cell r="AR258">
            <v>5361</v>
          </cell>
          <cell r="DN258">
            <v>767186</v>
          </cell>
          <cell r="DO258">
            <v>258</v>
          </cell>
        </row>
        <row r="259">
          <cell r="A259" t="str">
            <v>Orlando-Kissimmee-Sanford, FL Metro Area</v>
          </cell>
          <cell r="B259">
            <v>15357</v>
          </cell>
          <cell r="C259">
            <v>17830</v>
          </cell>
          <cell r="D259">
            <v>70044</v>
          </cell>
          <cell r="E259">
            <v>64136</v>
          </cell>
          <cell r="F259">
            <v>76475</v>
          </cell>
          <cell r="G259">
            <v>148364</v>
          </cell>
          <cell r="H259">
            <v>108017</v>
          </cell>
          <cell r="I259">
            <v>88737</v>
          </cell>
          <cell r="J259">
            <v>91451</v>
          </cell>
          <cell r="K259">
            <v>114164</v>
          </cell>
          <cell r="L259">
            <v>80008</v>
          </cell>
          <cell r="M259">
            <v>88686</v>
          </cell>
          <cell r="N259">
            <v>89960</v>
          </cell>
          <cell r="O259">
            <v>76448</v>
          </cell>
          <cell r="P259">
            <v>51370</v>
          </cell>
          <cell r="Q259">
            <v>51252</v>
          </cell>
          <cell r="R259">
            <v>35699</v>
          </cell>
          <cell r="S259">
            <v>44057</v>
          </cell>
          <cell r="T259">
            <v>32264</v>
          </cell>
          <cell r="U259">
            <v>17661</v>
          </cell>
          <cell r="V259">
            <v>31158</v>
          </cell>
          <cell r="W259">
            <v>26796</v>
          </cell>
          <cell r="X259">
            <v>24731</v>
          </cell>
          <cell r="Y259">
            <v>14393</v>
          </cell>
          <cell r="Z259">
            <v>10477</v>
          </cell>
          <cell r="AA259">
            <v>4249</v>
          </cell>
          <cell r="AB259">
            <v>20260</v>
          </cell>
          <cell r="AC259">
            <v>16739</v>
          </cell>
          <cell r="AD259">
            <v>24938</v>
          </cell>
          <cell r="AE259">
            <v>2565</v>
          </cell>
          <cell r="AF259">
            <v>4948</v>
          </cell>
          <cell r="AG259">
            <v>24012</v>
          </cell>
          <cell r="AH259">
            <v>20179</v>
          </cell>
          <cell r="AI259">
            <v>3602</v>
          </cell>
          <cell r="AK259">
            <v>8822</v>
          </cell>
          <cell r="AL259">
            <v>10352</v>
          </cell>
          <cell r="AN259">
            <v>9480</v>
          </cell>
          <cell r="AO259">
            <v>4274</v>
          </cell>
          <cell r="AP259">
            <v>5481</v>
          </cell>
          <cell r="AQ259">
            <v>6248</v>
          </cell>
          <cell r="AS259">
            <v>3188</v>
          </cell>
          <cell r="AT259">
            <v>5634</v>
          </cell>
          <cell r="DN259">
            <v>1644506</v>
          </cell>
          <cell r="DO259">
            <v>259</v>
          </cell>
        </row>
        <row r="260">
          <cell r="A260" t="str">
            <v>Oshkosh-Neenah, WI Metro Area</v>
          </cell>
          <cell r="B260">
            <v>19550</v>
          </cell>
          <cell r="C260">
            <v>30533</v>
          </cell>
          <cell r="E260">
            <v>21367</v>
          </cell>
          <cell r="G260">
            <v>4241</v>
          </cell>
          <cell r="J260">
            <v>6230</v>
          </cell>
          <cell r="K260">
            <v>5962</v>
          </cell>
          <cell r="L260">
            <v>19689</v>
          </cell>
          <cell r="M260">
            <v>9544</v>
          </cell>
          <cell r="N260">
            <v>3864</v>
          </cell>
          <cell r="O260">
            <v>5562</v>
          </cell>
          <cell r="P260">
            <v>18424</v>
          </cell>
          <cell r="Q260">
            <v>7549</v>
          </cell>
          <cell r="R260">
            <v>4234</v>
          </cell>
          <cell r="DN260">
            <v>156749</v>
          </cell>
          <cell r="DO260">
            <v>260</v>
          </cell>
        </row>
        <row r="261">
          <cell r="A261" t="str">
            <v>Owensboro, KY Metro Area</v>
          </cell>
          <cell r="B261">
            <v>8009</v>
          </cell>
          <cell r="C261">
            <v>17243</v>
          </cell>
          <cell r="D261">
            <v>18900</v>
          </cell>
          <cell r="E261">
            <v>12776</v>
          </cell>
          <cell r="F261">
            <v>7665</v>
          </cell>
          <cell r="G261">
            <v>4673</v>
          </cell>
          <cell r="J261">
            <v>10007</v>
          </cell>
          <cell r="K261">
            <v>7556</v>
          </cell>
          <cell r="M261">
            <v>4668</v>
          </cell>
          <cell r="R261">
            <v>7012</v>
          </cell>
          <cell r="S261">
            <v>3166</v>
          </cell>
          <cell r="U261">
            <v>2450</v>
          </cell>
          <cell r="V261">
            <v>2601</v>
          </cell>
          <cell r="Z261">
            <v>3134</v>
          </cell>
          <cell r="DN261">
            <v>109860</v>
          </cell>
          <cell r="DO261">
            <v>261</v>
          </cell>
        </row>
        <row r="262">
          <cell r="A262" t="str">
            <v>Oxnard-Thousand Oaks-Ventura, CA Metro Area</v>
          </cell>
          <cell r="B262">
            <v>30903</v>
          </cell>
          <cell r="C262">
            <v>58946</v>
          </cell>
          <cell r="D262">
            <v>78356</v>
          </cell>
          <cell r="E262">
            <v>36603</v>
          </cell>
          <cell r="F262">
            <v>26017</v>
          </cell>
          <cell r="G262">
            <v>24604</v>
          </cell>
          <cell r="H262">
            <v>33859</v>
          </cell>
          <cell r="I262">
            <v>25441</v>
          </cell>
          <cell r="J262">
            <v>23083</v>
          </cell>
          <cell r="K262">
            <v>23391</v>
          </cell>
          <cell r="L262">
            <v>13313</v>
          </cell>
          <cell r="M262">
            <v>23730</v>
          </cell>
          <cell r="N262">
            <v>14276</v>
          </cell>
          <cell r="O262">
            <v>18560</v>
          </cell>
          <cell r="P262">
            <v>9682</v>
          </cell>
          <cell r="Q262">
            <v>25084</v>
          </cell>
          <cell r="R262">
            <v>20196</v>
          </cell>
          <cell r="S262">
            <v>49499</v>
          </cell>
          <cell r="T262">
            <v>22368</v>
          </cell>
          <cell r="U262">
            <v>20155</v>
          </cell>
          <cell r="V262">
            <v>35289</v>
          </cell>
          <cell r="W262">
            <v>18464</v>
          </cell>
          <cell r="X262">
            <v>7243</v>
          </cell>
          <cell r="Y262">
            <v>15456</v>
          </cell>
          <cell r="Z262">
            <v>29327</v>
          </cell>
          <cell r="AA262">
            <v>11901</v>
          </cell>
          <cell r="AB262">
            <v>18610</v>
          </cell>
          <cell r="AC262">
            <v>11638</v>
          </cell>
          <cell r="AD262">
            <v>13611</v>
          </cell>
          <cell r="AE262">
            <v>12829</v>
          </cell>
          <cell r="AF262">
            <v>770</v>
          </cell>
          <cell r="BQ262">
            <v>0</v>
          </cell>
          <cell r="DN262">
            <v>753204</v>
          </cell>
          <cell r="DO262">
            <v>262</v>
          </cell>
        </row>
        <row r="263">
          <cell r="A263" t="str">
            <v>Palm Bay-Melbourne-Titusville, FL Metro Area</v>
          </cell>
          <cell r="C263">
            <v>23629</v>
          </cell>
          <cell r="D263">
            <v>18368</v>
          </cell>
          <cell r="E263">
            <v>17847</v>
          </cell>
          <cell r="F263">
            <v>20307</v>
          </cell>
          <cell r="G263">
            <v>25157</v>
          </cell>
          <cell r="H263">
            <v>18397</v>
          </cell>
          <cell r="I263">
            <v>4705</v>
          </cell>
          <cell r="J263">
            <v>21579</v>
          </cell>
          <cell r="K263">
            <v>20435</v>
          </cell>
          <cell r="L263">
            <v>22924</v>
          </cell>
          <cell r="M263">
            <v>13944</v>
          </cell>
          <cell r="N263">
            <v>14230</v>
          </cell>
          <cell r="O263">
            <v>15226</v>
          </cell>
          <cell r="P263">
            <v>15263</v>
          </cell>
          <cell r="S263">
            <v>10833</v>
          </cell>
          <cell r="U263">
            <v>1998</v>
          </cell>
          <cell r="V263">
            <v>5752</v>
          </cell>
          <cell r="W263">
            <v>11991</v>
          </cell>
          <cell r="X263">
            <v>11169</v>
          </cell>
          <cell r="Y263">
            <v>6081</v>
          </cell>
          <cell r="Z263">
            <v>12876</v>
          </cell>
          <cell r="AA263">
            <v>28106</v>
          </cell>
          <cell r="AB263">
            <v>14549</v>
          </cell>
          <cell r="AC263">
            <v>20159</v>
          </cell>
          <cell r="AD263">
            <v>62</v>
          </cell>
          <cell r="AE263">
            <v>7751</v>
          </cell>
          <cell r="AF263">
            <v>9620</v>
          </cell>
          <cell r="AH263">
            <v>6258</v>
          </cell>
          <cell r="AI263">
            <v>9877</v>
          </cell>
          <cell r="AJ263">
            <v>6450</v>
          </cell>
          <cell r="AM263">
            <v>2682</v>
          </cell>
          <cell r="AO263">
            <v>5018</v>
          </cell>
          <cell r="AP263">
            <v>8678</v>
          </cell>
          <cell r="AQ263">
            <v>6968</v>
          </cell>
          <cell r="AR263">
            <v>8281</v>
          </cell>
          <cell r="AS263">
            <v>4613</v>
          </cell>
          <cell r="AT263">
            <v>7441</v>
          </cell>
          <cell r="AU263">
            <v>5377</v>
          </cell>
          <cell r="AV263">
            <v>4603</v>
          </cell>
          <cell r="AY263">
            <v>0</v>
          </cell>
          <cell r="AZ263">
            <v>7097</v>
          </cell>
          <cell r="DN263">
            <v>476301</v>
          </cell>
          <cell r="DO263">
            <v>263</v>
          </cell>
        </row>
        <row r="264">
          <cell r="A264" t="str">
            <v>Palm Coast, FL Metro Area</v>
          </cell>
          <cell r="C264">
            <v>19008</v>
          </cell>
          <cell r="D264">
            <v>6003</v>
          </cell>
          <cell r="E264">
            <v>7555</v>
          </cell>
          <cell r="F264">
            <v>3931</v>
          </cell>
          <cell r="J264">
            <v>6324</v>
          </cell>
          <cell r="K264">
            <v>2900</v>
          </cell>
          <cell r="M264">
            <v>4097</v>
          </cell>
          <cell r="DN264">
            <v>49818</v>
          </cell>
          <cell r="DO264">
            <v>264</v>
          </cell>
        </row>
        <row r="265">
          <cell r="A265" t="str">
            <v>Panama City-Lynn Haven-Panama City Beach, FL Metro Area</v>
          </cell>
          <cell r="C265">
            <v>17338</v>
          </cell>
          <cell r="D265">
            <v>14241</v>
          </cell>
          <cell r="E265">
            <v>17708</v>
          </cell>
          <cell r="F265">
            <v>19895</v>
          </cell>
          <cell r="G265">
            <v>22214</v>
          </cell>
          <cell r="H265">
            <v>16993</v>
          </cell>
          <cell r="I265">
            <v>5121</v>
          </cell>
          <cell r="J265">
            <v>1895</v>
          </cell>
          <cell r="K265">
            <v>4783</v>
          </cell>
          <cell r="L265">
            <v>2947</v>
          </cell>
          <cell r="M265">
            <v>7130</v>
          </cell>
          <cell r="O265">
            <v>1713</v>
          </cell>
          <cell r="Q265">
            <v>5449</v>
          </cell>
          <cell r="T265">
            <v>2842</v>
          </cell>
          <cell r="V265">
            <v>6989</v>
          </cell>
          <cell r="W265">
            <v>1012</v>
          </cell>
          <cell r="DN265">
            <v>148270</v>
          </cell>
          <cell r="DO265">
            <v>265</v>
          </cell>
        </row>
        <row r="266">
          <cell r="A266" t="str">
            <v>Parkersburg-Marietta-Vienna, WV-OH Metro Area</v>
          </cell>
          <cell r="B266">
            <v>3027</v>
          </cell>
          <cell r="C266">
            <v>20260</v>
          </cell>
          <cell r="D266">
            <v>21706</v>
          </cell>
          <cell r="E266">
            <v>6048</v>
          </cell>
          <cell r="F266">
            <v>1967</v>
          </cell>
          <cell r="G266">
            <v>24903</v>
          </cell>
          <cell r="H266">
            <v>10154</v>
          </cell>
          <cell r="I266">
            <v>2005</v>
          </cell>
          <cell r="J266">
            <v>4683</v>
          </cell>
          <cell r="L266">
            <v>6529</v>
          </cell>
          <cell r="M266">
            <v>13804</v>
          </cell>
          <cell r="N266">
            <v>11816</v>
          </cell>
          <cell r="O266">
            <v>2839</v>
          </cell>
          <cell r="P266">
            <v>1801</v>
          </cell>
          <cell r="Q266">
            <v>3896</v>
          </cell>
          <cell r="S266">
            <v>9668</v>
          </cell>
          <cell r="T266">
            <v>4573</v>
          </cell>
          <cell r="V266">
            <v>5505</v>
          </cell>
          <cell r="Y266">
            <v>6454</v>
          </cell>
          <cell r="Z266">
            <v>2942</v>
          </cell>
          <cell r="DN266">
            <v>164580</v>
          </cell>
          <cell r="DO266">
            <v>266</v>
          </cell>
        </row>
        <row r="267">
          <cell r="A267" t="str">
            <v>Pascagoula, MS Metro Area</v>
          </cell>
          <cell r="B267">
            <v>3376</v>
          </cell>
          <cell r="C267">
            <v>10719</v>
          </cell>
          <cell r="D267">
            <v>19045</v>
          </cell>
          <cell r="E267">
            <v>4111</v>
          </cell>
          <cell r="F267">
            <v>3064</v>
          </cell>
          <cell r="G267">
            <v>12470</v>
          </cell>
          <cell r="H267">
            <v>1638</v>
          </cell>
          <cell r="I267">
            <v>6595</v>
          </cell>
          <cell r="J267">
            <v>4608</v>
          </cell>
          <cell r="L267">
            <v>7554</v>
          </cell>
          <cell r="N267">
            <v>7934</v>
          </cell>
          <cell r="P267">
            <v>5775</v>
          </cell>
          <cell r="R267">
            <v>20686</v>
          </cell>
          <cell r="S267">
            <v>12357</v>
          </cell>
          <cell r="U267">
            <v>11502</v>
          </cell>
          <cell r="AG267">
            <v>4611</v>
          </cell>
          <cell r="AH267">
            <v>5552</v>
          </cell>
          <cell r="AN267">
            <v>2252</v>
          </cell>
          <cell r="AO267">
            <v>6817</v>
          </cell>
          <cell r="DN267">
            <v>150666</v>
          </cell>
          <cell r="DO267">
            <v>267</v>
          </cell>
        </row>
        <row r="268">
          <cell r="A268" t="str">
            <v>Pensacola-Ferry Pass-Brent, FL Metro Area</v>
          </cell>
          <cell r="B268">
            <v>1939</v>
          </cell>
          <cell r="C268">
            <v>15145</v>
          </cell>
          <cell r="D268">
            <v>23658</v>
          </cell>
          <cell r="E268">
            <v>19174</v>
          </cell>
          <cell r="F268">
            <v>54372</v>
          </cell>
          <cell r="G268">
            <v>32508</v>
          </cell>
          <cell r="H268">
            <v>38448</v>
          </cell>
          <cell r="I268">
            <v>24051</v>
          </cell>
          <cell r="J268">
            <v>25875</v>
          </cell>
          <cell r="K268">
            <v>13322</v>
          </cell>
          <cell r="L268">
            <v>14568</v>
          </cell>
          <cell r="M268">
            <v>9882</v>
          </cell>
          <cell r="N268">
            <v>8791</v>
          </cell>
          <cell r="O268">
            <v>15851</v>
          </cell>
          <cell r="P268">
            <v>14205</v>
          </cell>
          <cell r="Q268">
            <v>14088</v>
          </cell>
          <cell r="S268">
            <v>21004</v>
          </cell>
          <cell r="T268">
            <v>13416</v>
          </cell>
          <cell r="U268">
            <v>5093</v>
          </cell>
          <cell r="V268">
            <v>9528</v>
          </cell>
          <cell r="X268">
            <v>7544</v>
          </cell>
          <cell r="Y268">
            <v>5033</v>
          </cell>
          <cell r="Z268">
            <v>2253</v>
          </cell>
          <cell r="AE268">
            <v>4502</v>
          </cell>
          <cell r="AG268">
            <v>5121</v>
          </cell>
          <cell r="AJ268">
            <v>7733</v>
          </cell>
          <cell r="AO268">
            <v>5064</v>
          </cell>
          <cell r="DN268">
            <v>412168</v>
          </cell>
          <cell r="DO268">
            <v>268</v>
          </cell>
        </row>
        <row r="269">
          <cell r="A269" t="str">
            <v>Peoria, IL Metro Area</v>
          </cell>
          <cell r="B269">
            <v>3967</v>
          </cell>
          <cell r="C269">
            <v>33246</v>
          </cell>
          <cell r="D269">
            <v>34331</v>
          </cell>
          <cell r="E269">
            <v>44763</v>
          </cell>
          <cell r="F269">
            <v>18779</v>
          </cell>
          <cell r="G269">
            <v>37037</v>
          </cell>
          <cell r="H269">
            <v>9144</v>
          </cell>
          <cell r="I269">
            <v>8317</v>
          </cell>
          <cell r="J269">
            <v>41841</v>
          </cell>
          <cell r="K269">
            <v>20240</v>
          </cell>
          <cell r="L269">
            <v>13697</v>
          </cell>
          <cell r="M269">
            <v>5272</v>
          </cell>
          <cell r="N269">
            <v>8981</v>
          </cell>
          <cell r="O269">
            <v>12279</v>
          </cell>
          <cell r="P269">
            <v>3456</v>
          </cell>
          <cell r="R269">
            <v>16865</v>
          </cell>
          <cell r="S269">
            <v>6580</v>
          </cell>
          <cell r="U269">
            <v>10634</v>
          </cell>
          <cell r="V269">
            <v>2991</v>
          </cell>
          <cell r="X269">
            <v>7409</v>
          </cell>
          <cell r="Z269">
            <v>5460</v>
          </cell>
          <cell r="AB269">
            <v>2852</v>
          </cell>
          <cell r="AE269">
            <v>4477</v>
          </cell>
          <cell r="AF269">
            <v>2281</v>
          </cell>
          <cell r="AG269">
            <v>5878</v>
          </cell>
          <cell r="AH269">
            <v>3478</v>
          </cell>
          <cell r="AI269">
            <v>2654</v>
          </cell>
          <cell r="DN269">
            <v>366909</v>
          </cell>
          <cell r="DO269">
            <v>269</v>
          </cell>
        </row>
        <row r="270">
          <cell r="A270" t="str">
            <v>Philadelphia-Camden-Wilmington, PA-NJ-DE-MD Metro Area</v>
          </cell>
          <cell r="B270">
            <v>67961</v>
          </cell>
          <cell r="C270">
            <v>146799</v>
          </cell>
          <cell r="D270">
            <v>220340</v>
          </cell>
          <cell r="E270">
            <v>235973</v>
          </cell>
          <cell r="F270">
            <v>229050</v>
          </cell>
          <cell r="G270">
            <v>244129</v>
          </cell>
          <cell r="H270">
            <v>271760</v>
          </cell>
          <cell r="I270">
            <v>272566</v>
          </cell>
          <cell r="J270">
            <v>265358</v>
          </cell>
          <cell r="K270">
            <v>182633</v>
          </cell>
          <cell r="L270">
            <v>193506</v>
          </cell>
          <cell r="M270">
            <v>174502</v>
          </cell>
          <cell r="N270">
            <v>193276</v>
          </cell>
          <cell r="O270">
            <v>167574</v>
          </cell>
          <cell r="P270">
            <v>172659</v>
          </cell>
          <cell r="Q270">
            <v>204610</v>
          </cell>
          <cell r="R270">
            <v>173233</v>
          </cell>
          <cell r="S270">
            <v>117626</v>
          </cell>
          <cell r="T270">
            <v>130720</v>
          </cell>
          <cell r="U270">
            <v>155372</v>
          </cell>
          <cell r="V270">
            <v>155709</v>
          </cell>
          <cell r="W270">
            <v>136915</v>
          </cell>
          <cell r="X270">
            <v>131646</v>
          </cell>
          <cell r="Y270">
            <v>171275</v>
          </cell>
          <cell r="Z270">
            <v>89329</v>
          </cell>
          <cell r="AA270">
            <v>120975</v>
          </cell>
          <cell r="AB270">
            <v>103479</v>
          </cell>
          <cell r="AC270">
            <v>83986</v>
          </cell>
          <cell r="AD270">
            <v>82443</v>
          </cell>
          <cell r="AE270">
            <v>74497</v>
          </cell>
          <cell r="AF270">
            <v>75348</v>
          </cell>
          <cell r="AG270">
            <v>83553</v>
          </cell>
          <cell r="AH270">
            <v>85479</v>
          </cell>
          <cell r="AI270">
            <v>40458</v>
          </cell>
          <cell r="AJ270">
            <v>76002</v>
          </cell>
          <cell r="AK270">
            <v>64426</v>
          </cell>
          <cell r="AL270">
            <v>43133</v>
          </cell>
          <cell r="AM270">
            <v>43377</v>
          </cell>
          <cell r="AN270">
            <v>15831</v>
          </cell>
          <cell r="AO270">
            <v>30145</v>
          </cell>
          <cell r="AP270">
            <v>20968</v>
          </cell>
          <cell r="AQ270">
            <v>9700</v>
          </cell>
          <cell r="AR270">
            <v>32139</v>
          </cell>
          <cell r="AS270">
            <v>9130</v>
          </cell>
          <cell r="AT270">
            <v>17456</v>
          </cell>
          <cell r="AV270">
            <v>12332</v>
          </cell>
          <cell r="AW270">
            <v>4660</v>
          </cell>
          <cell r="AX270">
            <v>14866</v>
          </cell>
          <cell r="AY270">
            <v>8358</v>
          </cell>
          <cell r="AZ270">
            <v>2155</v>
          </cell>
          <cell r="BA270">
            <v>5802</v>
          </cell>
          <cell r="BB270">
            <v>3240</v>
          </cell>
          <cell r="BD270">
            <v>14222</v>
          </cell>
          <cell r="BE270">
            <v>3648</v>
          </cell>
          <cell r="DN270">
            <v>5686329</v>
          </cell>
          <cell r="DO270">
            <v>270</v>
          </cell>
        </row>
        <row r="271">
          <cell r="A271" t="str">
            <v>Phoenix-Mesa-Glendale, AZ Metro Area</v>
          </cell>
          <cell r="B271">
            <v>18424</v>
          </cell>
          <cell r="C271">
            <v>32015</v>
          </cell>
          <cell r="D271">
            <v>64659</v>
          </cell>
          <cell r="E271">
            <v>103506</v>
          </cell>
          <cell r="F271">
            <v>126801</v>
          </cell>
          <cell r="G271">
            <v>130446</v>
          </cell>
          <cell r="H271">
            <v>124286</v>
          </cell>
          <cell r="I271">
            <v>117975</v>
          </cell>
          <cell r="J271">
            <v>166788</v>
          </cell>
          <cell r="K271">
            <v>177056</v>
          </cell>
          <cell r="L271">
            <v>200577</v>
          </cell>
          <cell r="M271">
            <v>155642</v>
          </cell>
          <cell r="N271">
            <v>193249</v>
          </cell>
          <cell r="O271">
            <v>206146</v>
          </cell>
          <cell r="P271">
            <v>191718</v>
          </cell>
          <cell r="Q271">
            <v>171073</v>
          </cell>
          <cell r="R271">
            <v>155722</v>
          </cell>
          <cell r="S271">
            <v>136437</v>
          </cell>
          <cell r="T271">
            <v>120969</v>
          </cell>
          <cell r="U271">
            <v>76335</v>
          </cell>
          <cell r="V271">
            <v>70606</v>
          </cell>
          <cell r="W271">
            <v>64531</v>
          </cell>
          <cell r="X271">
            <v>66122</v>
          </cell>
          <cell r="Y271">
            <v>51900</v>
          </cell>
          <cell r="Z271">
            <v>38986</v>
          </cell>
          <cell r="AA271">
            <v>13672</v>
          </cell>
          <cell r="AB271">
            <v>27626</v>
          </cell>
          <cell r="AC271">
            <v>21238</v>
          </cell>
          <cell r="AD271">
            <v>10024</v>
          </cell>
          <cell r="AE271">
            <v>25550</v>
          </cell>
          <cell r="AF271">
            <v>18464</v>
          </cell>
          <cell r="AG271">
            <v>11675</v>
          </cell>
          <cell r="AH271">
            <v>15997</v>
          </cell>
          <cell r="AI271">
            <v>929</v>
          </cell>
          <cell r="AJ271">
            <v>3353</v>
          </cell>
          <cell r="AK271">
            <v>5904</v>
          </cell>
          <cell r="AL271">
            <v>7421</v>
          </cell>
          <cell r="AM271">
            <v>1013</v>
          </cell>
          <cell r="AN271">
            <v>0</v>
          </cell>
          <cell r="AO271">
            <v>6262</v>
          </cell>
          <cell r="AP271">
            <v>7857</v>
          </cell>
          <cell r="AQ271">
            <v>3755</v>
          </cell>
          <cell r="AR271">
            <v>7687</v>
          </cell>
          <cell r="AS271">
            <v>8563</v>
          </cell>
          <cell r="AT271">
            <v>5423</v>
          </cell>
          <cell r="AU271">
            <v>10844</v>
          </cell>
          <cell r="AV271">
            <v>102</v>
          </cell>
          <cell r="AW271">
            <v>5888</v>
          </cell>
          <cell r="AY271">
            <v>6600</v>
          </cell>
          <cell r="AZ271">
            <v>9234</v>
          </cell>
          <cell r="BA271">
            <v>5140</v>
          </cell>
          <cell r="BB271">
            <v>4798</v>
          </cell>
          <cell r="BC271">
            <v>9526</v>
          </cell>
          <cell r="BD271">
            <v>1944</v>
          </cell>
          <cell r="BF271">
            <v>4643</v>
          </cell>
          <cell r="BG271">
            <v>4282</v>
          </cell>
          <cell r="BM271">
            <v>1430</v>
          </cell>
          <cell r="BP271">
            <v>2942</v>
          </cell>
          <cell r="BS271">
            <v>0</v>
          </cell>
          <cell r="BU271">
            <v>2901</v>
          </cell>
          <cell r="CP271">
            <v>5608</v>
          </cell>
          <cell r="CQ271">
            <v>993</v>
          </cell>
          <cell r="CR271">
            <v>3731</v>
          </cell>
          <cell r="CT271">
            <v>2519</v>
          </cell>
          <cell r="CV271">
            <v>4378</v>
          </cell>
          <cell r="DN271">
            <v>3251885</v>
          </cell>
          <cell r="DO271">
            <v>271</v>
          </cell>
        </row>
        <row r="272">
          <cell r="A272" t="str">
            <v>Pine Bluff, AR Metro Area</v>
          </cell>
          <cell r="B272">
            <v>5801</v>
          </cell>
          <cell r="C272">
            <v>15445</v>
          </cell>
          <cell r="D272">
            <v>19029</v>
          </cell>
          <cell r="E272">
            <v>1937</v>
          </cell>
          <cell r="F272">
            <v>4417</v>
          </cell>
          <cell r="G272">
            <v>13522</v>
          </cell>
          <cell r="H272">
            <v>1536</v>
          </cell>
          <cell r="I272">
            <v>9617</v>
          </cell>
          <cell r="J272">
            <v>3843</v>
          </cell>
          <cell r="N272">
            <v>4096</v>
          </cell>
          <cell r="R272">
            <v>5052</v>
          </cell>
          <cell r="S272">
            <v>4750</v>
          </cell>
          <cell r="U272">
            <v>3295</v>
          </cell>
          <cell r="W272">
            <v>2780</v>
          </cell>
          <cell r="AA272">
            <v>2883</v>
          </cell>
          <cell r="AB272">
            <v>5520</v>
          </cell>
          <cell r="AE272">
            <v>3808</v>
          </cell>
          <cell r="DN272">
            <v>107331</v>
          </cell>
          <cell r="DO272">
            <v>272</v>
          </cell>
        </row>
        <row r="273">
          <cell r="A273" t="str">
            <v>Pittsburgh, PA Metro Area</v>
          </cell>
          <cell r="B273">
            <v>17251</v>
          </cell>
          <cell r="C273">
            <v>63041</v>
          </cell>
          <cell r="D273">
            <v>86043</v>
          </cell>
          <cell r="E273">
            <v>133168</v>
          </cell>
          <cell r="F273">
            <v>113513</v>
          </cell>
          <cell r="G273">
            <v>137540</v>
          </cell>
          <cell r="H273">
            <v>105745</v>
          </cell>
          <cell r="I273">
            <v>95357</v>
          </cell>
          <cell r="J273">
            <v>79750</v>
          </cell>
          <cell r="K273">
            <v>116282</v>
          </cell>
          <cell r="L273">
            <v>82696</v>
          </cell>
          <cell r="M273">
            <v>78308</v>
          </cell>
          <cell r="N273">
            <v>50637</v>
          </cell>
          <cell r="O273">
            <v>70893</v>
          </cell>
          <cell r="P273">
            <v>51268</v>
          </cell>
          <cell r="Q273">
            <v>82141</v>
          </cell>
          <cell r="R273">
            <v>34032</v>
          </cell>
          <cell r="S273">
            <v>58812</v>
          </cell>
          <cell r="T273">
            <v>80935</v>
          </cell>
          <cell r="U273">
            <v>31098</v>
          </cell>
          <cell r="V273">
            <v>49380</v>
          </cell>
          <cell r="W273">
            <v>70380</v>
          </cell>
          <cell r="X273">
            <v>62452</v>
          </cell>
          <cell r="Y273">
            <v>47599</v>
          </cell>
          <cell r="Z273">
            <v>35453</v>
          </cell>
          <cell r="AA273">
            <v>65239</v>
          </cell>
          <cell r="AB273">
            <v>51972</v>
          </cell>
          <cell r="AC273">
            <v>49725</v>
          </cell>
          <cell r="AD273">
            <v>21612</v>
          </cell>
          <cell r="AE273">
            <v>46415</v>
          </cell>
          <cell r="AF273">
            <v>46356</v>
          </cell>
          <cell r="AG273">
            <v>26533</v>
          </cell>
          <cell r="AH273">
            <v>22340</v>
          </cell>
          <cell r="AI273">
            <v>36184</v>
          </cell>
          <cell r="AJ273">
            <v>32148</v>
          </cell>
          <cell r="AK273">
            <v>22108</v>
          </cell>
          <cell r="AL273">
            <v>18604</v>
          </cell>
          <cell r="AM273">
            <v>11664</v>
          </cell>
          <cell r="AN273">
            <v>19904</v>
          </cell>
          <cell r="AO273">
            <v>7761</v>
          </cell>
          <cell r="AP273">
            <v>33209</v>
          </cell>
          <cell r="AQ273">
            <v>12773</v>
          </cell>
          <cell r="AR273">
            <v>8873</v>
          </cell>
          <cell r="AS273">
            <v>24103</v>
          </cell>
          <cell r="AT273">
            <v>4059</v>
          </cell>
          <cell r="AU273">
            <v>6792</v>
          </cell>
          <cell r="AV273">
            <v>11265</v>
          </cell>
          <cell r="AW273">
            <v>5683</v>
          </cell>
          <cell r="AY273">
            <v>4132</v>
          </cell>
          <cell r="AZ273">
            <v>4874</v>
          </cell>
          <cell r="BB273">
            <v>3118</v>
          </cell>
          <cell r="DN273">
            <v>2431220</v>
          </cell>
          <cell r="DO273">
            <v>273</v>
          </cell>
        </row>
        <row r="274">
          <cell r="A274" t="str">
            <v>Pittsfield, MA Metro Area</v>
          </cell>
          <cell r="B274">
            <v>17637</v>
          </cell>
          <cell r="C274">
            <v>16679</v>
          </cell>
          <cell r="D274">
            <v>11471</v>
          </cell>
          <cell r="F274">
            <v>12491</v>
          </cell>
          <cell r="G274">
            <v>5083</v>
          </cell>
          <cell r="I274">
            <v>1865</v>
          </cell>
          <cell r="K274">
            <v>9394</v>
          </cell>
          <cell r="L274">
            <v>1687</v>
          </cell>
          <cell r="M274">
            <v>3665</v>
          </cell>
          <cell r="N274">
            <v>2106</v>
          </cell>
          <cell r="O274">
            <v>5133</v>
          </cell>
          <cell r="P274">
            <v>3873</v>
          </cell>
          <cell r="R274">
            <v>4623</v>
          </cell>
          <cell r="S274">
            <v>15234</v>
          </cell>
          <cell r="T274">
            <v>9004</v>
          </cell>
          <cell r="U274">
            <v>4405</v>
          </cell>
          <cell r="V274">
            <v>3589</v>
          </cell>
          <cell r="W274">
            <v>2180</v>
          </cell>
          <cell r="Y274">
            <v>1471</v>
          </cell>
          <cell r="AA274">
            <v>3332</v>
          </cell>
          <cell r="DN274">
            <v>134922</v>
          </cell>
          <cell r="DO274">
            <v>274</v>
          </cell>
        </row>
        <row r="275">
          <cell r="A275" t="str">
            <v>Pocatello, ID Metro Area</v>
          </cell>
          <cell r="B275">
            <v>10715</v>
          </cell>
          <cell r="C275">
            <v>24639</v>
          </cell>
          <cell r="D275">
            <v>14730</v>
          </cell>
          <cell r="E275">
            <v>10333</v>
          </cell>
          <cell r="F275">
            <v>3204</v>
          </cell>
          <cell r="G275">
            <v>1772</v>
          </cell>
          <cell r="I275">
            <v>1993</v>
          </cell>
          <cell r="J275">
            <v>3239</v>
          </cell>
          <cell r="R275">
            <v>1720</v>
          </cell>
          <cell r="W275">
            <v>5822</v>
          </cell>
          <cell r="AA275">
            <v>4934</v>
          </cell>
          <cell r="DN275">
            <v>83101</v>
          </cell>
          <cell r="DO275">
            <v>275</v>
          </cell>
        </row>
        <row r="276">
          <cell r="A276" t="str">
            <v>Portland-South Portland-Biddeford, ME Metro Area</v>
          </cell>
          <cell r="B276">
            <v>23167</v>
          </cell>
          <cell r="C276">
            <v>23808</v>
          </cell>
          <cell r="D276">
            <v>23613</v>
          </cell>
          <cell r="E276">
            <v>21323</v>
          </cell>
          <cell r="F276">
            <v>11387</v>
          </cell>
          <cell r="G276">
            <v>17638</v>
          </cell>
          <cell r="H276">
            <v>6851</v>
          </cell>
          <cell r="I276">
            <v>12491</v>
          </cell>
          <cell r="J276">
            <v>2554</v>
          </cell>
          <cell r="K276">
            <v>17084</v>
          </cell>
          <cell r="L276">
            <v>9908</v>
          </cell>
          <cell r="M276">
            <v>8822</v>
          </cell>
          <cell r="N276">
            <v>8902</v>
          </cell>
          <cell r="O276">
            <v>11697</v>
          </cell>
          <cell r="P276">
            <v>21987</v>
          </cell>
          <cell r="Q276">
            <v>27933</v>
          </cell>
          <cell r="R276">
            <v>11431</v>
          </cell>
          <cell r="S276">
            <v>1879</v>
          </cell>
          <cell r="T276">
            <v>9847</v>
          </cell>
          <cell r="U276">
            <v>3128</v>
          </cell>
          <cell r="V276">
            <v>15477</v>
          </cell>
          <cell r="W276">
            <v>16909</v>
          </cell>
          <cell r="X276">
            <v>10425</v>
          </cell>
          <cell r="Y276">
            <v>13664</v>
          </cell>
          <cell r="Z276">
            <v>24623</v>
          </cell>
          <cell r="AB276">
            <v>7447</v>
          </cell>
          <cell r="AC276">
            <v>6826</v>
          </cell>
          <cell r="AD276">
            <v>9185</v>
          </cell>
          <cell r="AE276">
            <v>5702</v>
          </cell>
          <cell r="AF276">
            <v>29442</v>
          </cell>
          <cell r="AG276">
            <v>11111</v>
          </cell>
          <cell r="AJ276">
            <v>4248</v>
          </cell>
          <cell r="AL276">
            <v>7192</v>
          </cell>
          <cell r="AM276">
            <v>8367</v>
          </cell>
          <cell r="AN276">
            <v>5151</v>
          </cell>
          <cell r="AO276">
            <v>13127</v>
          </cell>
          <cell r="AP276">
            <v>7656</v>
          </cell>
          <cell r="AT276">
            <v>9057</v>
          </cell>
          <cell r="AU276">
            <v>6442</v>
          </cell>
          <cell r="DN276">
            <v>487501</v>
          </cell>
          <cell r="DO276">
            <v>276</v>
          </cell>
        </row>
        <row r="277">
          <cell r="A277" t="str">
            <v>Portland-Vancouver-Hillsboro, OR-WA Metro Area</v>
          </cell>
          <cell r="B277">
            <v>19533</v>
          </cell>
          <cell r="C277">
            <v>47211</v>
          </cell>
          <cell r="D277">
            <v>65441</v>
          </cell>
          <cell r="E277">
            <v>101241</v>
          </cell>
          <cell r="F277">
            <v>132686</v>
          </cell>
          <cell r="G277">
            <v>101209</v>
          </cell>
          <cell r="H277">
            <v>136735</v>
          </cell>
          <cell r="I277">
            <v>105580</v>
          </cell>
          <cell r="J277">
            <v>168132</v>
          </cell>
          <cell r="K277">
            <v>161971</v>
          </cell>
          <cell r="L277">
            <v>148028</v>
          </cell>
          <cell r="M277">
            <v>101004</v>
          </cell>
          <cell r="N277">
            <v>99444</v>
          </cell>
          <cell r="O277">
            <v>85339</v>
          </cell>
          <cell r="P277">
            <v>52525</v>
          </cell>
          <cell r="Q277">
            <v>46154</v>
          </cell>
          <cell r="R277">
            <v>25837</v>
          </cell>
          <cell r="S277">
            <v>24731</v>
          </cell>
          <cell r="T277">
            <v>36947</v>
          </cell>
          <cell r="U277">
            <v>29430</v>
          </cell>
          <cell r="V277">
            <v>35091</v>
          </cell>
          <cell r="W277">
            <v>18177</v>
          </cell>
          <cell r="X277">
            <v>13166</v>
          </cell>
          <cell r="Y277">
            <v>16335</v>
          </cell>
          <cell r="Z277">
            <v>20049</v>
          </cell>
          <cell r="AA277">
            <v>22042</v>
          </cell>
          <cell r="AB277">
            <v>13503</v>
          </cell>
          <cell r="AC277">
            <v>18483</v>
          </cell>
          <cell r="AE277">
            <v>7708</v>
          </cell>
          <cell r="AF277">
            <v>2867</v>
          </cell>
          <cell r="AH277">
            <v>10979</v>
          </cell>
          <cell r="AI277">
            <v>20479</v>
          </cell>
          <cell r="AJ277">
            <v>6124</v>
          </cell>
          <cell r="AK277">
            <v>2949</v>
          </cell>
          <cell r="AL277">
            <v>3889</v>
          </cell>
          <cell r="AP277">
            <v>1787</v>
          </cell>
          <cell r="AQ277">
            <v>4383</v>
          </cell>
          <cell r="AS277">
            <v>8285</v>
          </cell>
          <cell r="AT277">
            <v>84</v>
          </cell>
          <cell r="AV277">
            <v>5975</v>
          </cell>
          <cell r="AX277">
            <v>4161</v>
          </cell>
          <cell r="BA277">
            <v>2198</v>
          </cell>
          <cell r="DN277">
            <v>1927892</v>
          </cell>
          <cell r="DO277">
            <v>277</v>
          </cell>
        </row>
        <row r="278">
          <cell r="A278" t="str">
            <v>Port St. Lucie, FL Metro Area</v>
          </cell>
          <cell r="B278">
            <v>2944</v>
          </cell>
          <cell r="C278">
            <v>13806</v>
          </cell>
          <cell r="D278">
            <v>35678</v>
          </cell>
          <cell r="E278">
            <v>24393</v>
          </cell>
          <cell r="F278">
            <v>20325</v>
          </cell>
          <cell r="G278">
            <v>11230</v>
          </cell>
          <cell r="H278">
            <v>22346</v>
          </cell>
          <cell r="I278">
            <v>9945</v>
          </cell>
          <cell r="J278">
            <v>23719</v>
          </cell>
          <cell r="K278">
            <v>18051</v>
          </cell>
          <cell r="L278">
            <v>7770</v>
          </cell>
          <cell r="M278">
            <v>33820</v>
          </cell>
          <cell r="N278">
            <v>17391</v>
          </cell>
          <cell r="O278">
            <v>21551</v>
          </cell>
          <cell r="P278">
            <v>8018</v>
          </cell>
          <cell r="Q278">
            <v>7148</v>
          </cell>
          <cell r="R278">
            <v>5242</v>
          </cell>
          <cell r="S278">
            <v>3443</v>
          </cell>
          <cell r="T278">
            <v>24521</v>
          </cell>
          <cell r="U278">
            <v>3054</v>
          </cell>
          <cell r="Y278">
            <v>792</v>
          </cell>
          <cell r="Z278">
            <v>4275</v>
          </cell>
          <cell r="DN278">
            <v>319462</v>
          </cell>
          <cell r="DO278">
            <v>278</v>
          </cell>
        </row>
        <row r="279">
          <cell r="A279" t="str">
            <v>Poughkeepsie-Newburgh-Middletown, NY Metro Area</v>
          </cell>
          <cell r="B279">
            <v>22216</v>
          </cell>
          <cell r="C279">
            <v>16434</v>
          </cell>
          <cell r="D279">
            <v>19531</v>
          </cell>
          <cell r="E279">
            <v>4946</v>
          </cell>
          <cell r="F279">
            <v>9226</v>
          </cell>
          <cell r="G279">
            <v>18623</v>
          </cell>
          <cell r="H279">
            <v>9292</v>
          </cell>
          <cell r="I279">
            <v>19368</v>
          </cell>
          <cell r="J279">
            <v>15539</v>
          </cell>
          <cell r="K279">
            <v>14175</v>
          </cell>
          <cell r="L279">
            <v>7725</v>
          </cell>
          <cell r="M279">
            <v>21723</v>
          </cell>
          <cell r="N279">
            <v>25671</v>
          </cell>
          <cell r="O279">
            <v>17491</v>
          </cell>
          <cell r="P279">
            <v>50655</v>
          </cell>
          <cell r="Q279">
            <v>21379</v>
          </cell>
          <cell r="R279">
            <v>17293</v>
          </cell>
          <cell r="S279">
            <v>11332</v>
          </cell>
          <cell r="T279">
            <v>14518</v>
          </cell>
          <cell r="U279">
            <v>27370</v>
          </cell>
          <cell r="V279">
            <v>19024</v>
          </cell>
          <cell r="W279">
            <v>10546</v>
          </cell>
          <cell r="X279">
            <v>9776</v>
          </cell>
          <cell r="Y279">
            <v>9902</v>
          </cell>
          <cell r="Z279">
            <v>4660</v>
          </cell>
          <cell r="AA279">
            <v>9555</v>
          </cell>
          <cell r="AB279">
            <v>15273</v>
          </cell>
          <cell r="AC279">
            <v>18889</v>
          </cell>
          <cell r="AD279">
            <v>9905</v>
          </cell>
          <cell r="AE279">
            <v>24658</v>
          </cell>
          <cell r="AF279">
            <v>17147</v>
          </cell>
          <cell r="AG279">
            <v>24907</v>
          </cell>
          <cell r="AH279">
            <v>11696</v>
          </cell>
          <cell r="AJ279">
            <v>15012</v>
          </cell>
          <cell r="AK279">
            <v>6306</v>
          </cell>
          <cell r="AM279">
            <v>3331</v>
          </cell>
          <cell r="AN279">
            <v>13382</v>
          </cell>
          <cell r="AO279">
            <v>8914</v>
          </cell>
          <cell r="AP279">
            <v>7386</v>
          </cell>
          <cell r="AR279">
            <v>7836</v>
          </cell>
          <cell r="AU279">
            <v>8810</v>
          </cell>
          <cell r="DN279">
            <v>621422</v>
          </cell>
          <cell r="DO279">
            <v>279</v>
          </cell>
        </row>
        <row r="280">
          <cell r="A280" t="str">
            <v>Prescott, AZ Metro Area</v>
          </cell>
          <cell r="B280">
            <v>9313</v>
          </cell>
          <cell r="C280">
            <v>10410</v>
          </cell>
          <cell r="D280">
            <v>10499</v>
          </cell>
          <cell r="E280">
            <v>4178</v>
          </cell>
          <cell r="F280">
            <v>3379</v>
          </cell>
          <cell r="G280">
            <v>3994</v>
          </cell>
          <cell r="J280">
            <v>9273</v>
          </cell>
          <cell r="K280">
            <v>12574</v>
          </cell>
          <cell r="L280">
            <v>15122</v>
          </cell>
          <cell r="P280">
            <v>4893</v>
          </cell>
          <cell r="Q280">
            <v>5557</v>
          </cell>
          <cell r="S280">
            <v>5279</v>
          </cell>
          <cell r="W280">
            <v>10277</v>
          </cell>
          <cell r="AC280">
            <v>3010</v>
          </cell>
          <cell r="AD280">
            <v>8994</v>
          </cell>
          <cell r="AE280">
            <v>15552</v>
          </cell>
          <cell r="AH280">
            <v>4176</v>
          </cell>
          <cell r="AI280">
            <v>4691</v>
          </cell>
          <cell r="AM280">
            <v>3778</v>
          </cell>
          <cell r="AN280">
            <v>4440</v>
          </cell>
          <cell r="AP280">
            <v>1789</v>
          </cell>
          <cell r="AQ280">
            <v>4030</v>
          </cell>
          <cell r="AS280">
            <v>8088</v>
          </cell>
          <cell r="AT280">
            <v>2200</v>
          </cell>
          <cell r="BB280">
            <v>1881</v>
          </cell>
          <cell r="DN280">
            <v>167377</v>
          </cell>
          <cell r="DO280">
            <v>280</v>
          </cell>
        </row>
        <row r="281">
          <cell r="A281" t="str">
            <v>Providence-New Bedford-Fall River, RI-MA Metro Area</v>
          </cell>
          <cell r="B281">
            <v>33336</v>
          </cell>
          <cell r="C281">
            <v>81199</v>
          </cell>
          <cell r="D281">
            <v>88281</v>
          </cell>
          <cell r="E281">
            <v>113064</v>
          </cell>
          <cell r="F281">
            <v>109116</v>
          </cell>
          <cell r="G281">
            <v>50038</v>
          </cell>
          <cell r="H281">
            <v>52360</v>
          </cell>
          <cell r="I281">
            <v>46876</v>
          </cell>
          <cell r="J281">
            <v>55108</v>
          </cell>
          <cell r="K281">
            <v>47533</v>
          </cell>
          <cell r="L281">
            <v>64503</v>
          </cell>
          <cell r="M281">
            <v>52956</v>
          </cell>
          <cell r="N281">
            <v>65855</v>
          </cell>
          <cell r="O281">
            <v>51854</v>
          </cell>
          <cell r="P281">
            <v>52096</v>
          </cell>
          <cell r="Q281">
            <v>72992</v>
          </cell>
          <cell r="R281">
            <v>65694</v>
          </cell>
          <cell r="S281">
            <v>68188</v>
          </cell>
          <cell r="T281">
            <v>25273</v>
          </cell>
          <cell r="U281">
            <v>22404</v>
          </cell>
          <cell r="V281">
            <v>48368</v>
          </cell>
          <cell r="W281">
            <v>11440</v>
          </cell>
          <cell r="X281">
            <v>25328</v>
          </cell>
          <cell r="Y281">
            <v>32705</v>
          </cell>
          <cell r="Z281">
            <v>22558</v>
          </cell>
          <cell r="AA281">
            <v>31850</v>
          </cell>
          <cell r="AB281">
            <v>28268</v>
          </cell>
          <cell r="AC281">
            <v>57224</v>
          </cell>
          <cell r="AD281">
            <v>34787</v>
          </cell>
          <cell r="AE281">
            <v>11531</v>
          </cell>
          <cell r="AF281">
            <v>24082</v>
          </cell>
          <cell r="AG281">
            <v>7511</v>
          </cell>
          <cell r="AH281">
            <v>4565</v>
          </cell>
          <cell r="AL281">
            <v>5500</v>
          </cell>
          <cell r="AM281">
            <v>11788</v>
          </cell>
          <cell r="AN281">
            <v>3714</v>
          </cell>
          <cell r="AO281">
            <v>1974</v>
          </cell>
          <cell r="AU281">
            <v>1008</v>
          </cell>
          <cell r="DN281">
            <v>1582927</v>
          </cell>
          <cell r="DO281">
            <v>281</v>
          </cell>
        </row>
        <row r="282">
          <cell r="A282" t="str">
            <v>Provo-Orem, UT Metro Area</v>
          </cell>
          <cell r="B282">
            <v>37204</v>
          </cell>
          <cell r="C282">
            <v>43616</v>
          </cell>
          <cell r="D282">
            <v>22108</v>
          </cell>
          <cell r="E282">
            <v>19102</v>
          </cell>
          <cell r="F282">
            <v>26612</v>
          </cell>
          <cell r="G282">
            <v>32588</v>
          </cell>
          <cell r="H282">
            <v>26682</v>
          </cell>
          <cell r="I282">
            <v>10932</v>
          </cell>
          <cell r="J282">
            <v>24495</v>
          </cell>
          <cell r="K282">
            <v>13421</v>
          </cell>
          <cell r="L282">
            <v>9733</v>
          </cell>
          <cell r="M282">
            <v>11529</v>
          </cell>
          <cell r="N282">
            <v>11134</v>
          </cell>
          <cell r="O282">
            <v>20942</v>
          </cell>
          <cell r="P282">
            <v>22256</v>
          </cell>
          <cell r="Q282">
            <v>14414</v>
          </cell>
          <cell r="R282">
            <v>8598</v>
          </cell>
          <cell r="S282">
            <v>2183</v>
          </cell>
          <cell r="T282">
            <v>4433</v>
          </cell>
          <cell r="U282">
            <v>2654</v>
          </cell>
          <cell r="V282">
            <v>2409</v>
          </cell>
          <cell r="W282">
            <v>1485</v>
          </cell>
          <cell r="Y282">
            <v>9</v>
          </cell>
          <cell r="AJ282">
            <v>3353</v>
          </cell>
          <cell r="AM282">
            <v>4883</v>
          </cell>
          <cell r="DN282">
            <v>376775</v>
          </cell>
          <cell r="DO282">
            <v>282</v>
          </cell>
        </row>
        <row r="283">
          <cell r="A283" t="str">
            <v>Pueblo, CO Metro Area</v>
          </cell>
          <cell r="B283">
            <v>5399</v>
          </cell>
          <cell r="C283">
            <v>25752</v>
          </cell>
          <cell r="D283">
            <v>46377</v>
          </cell>
          <cell r="E283">
            <v>26281</v>
          </cell>
          <cell r="F283">
            <v>3974</v>
          </cell>
          <cell r="G283">
            <v>3288</v>
          </cell>
          <cell r="H283">
            <v>1817</v>
          </cell>
          <cell r="I283">
            <v>7785</v>
          </cell>
          <cell r="J283">
            <v>5383</v>
          </cell>
          <cell r="K283">
            <v>2738</v>
          </cell>
          <cell r="L283">
            <v>1239</v>
          </cell>
          <cell r="M283">
            <v>2070</v>
          </cell>
          <cell r="N283">
            <v>5487</v>
          </cell>
          <cell r="U283">
            <v>0</v>
          </cell>
          <cell r="AA283">
            <v>3897</v>
          </cell>
          <cell r="DN283">
            <v>141487</v>
          </cell>
          <cell r="DO283">
            <v>283</v>
          </cell>
        </row>
        <row r="284">
          <cell r="A284" t="str">
            <v>Punta Gorda, FL Metro Area</v>
          </cell>
          <cell r="C284">
            <v>9015</v>
          </cell>
          <cell r="D284">
            <v>9839</v>
          </cell>
          <cell r="E284">
            <v>14611</v>
          </cell>
          <cell r="F284">
            <v>9336</v>
          </cell>
          <cell r="G284">
            <v>24202</v>
          </cell>
          <cell r="H284">
            <v>25134</v>
          </cell>
          <cell r="I284">
            <v>8803</v>
          </cell>
          <cell r="L284">
            <v>6809</v>
          </cell>
          <cell r="M284">
            <v>8988</v>
          </cell>
          <cell r="O284">
            <v>3706</v>
          </cell>
          <cell r="P284">
            <v>10735</v>
          </cell>
          <cell r="R284">
            <v>7413</v>
          </cell>
          <cell r="T284">
            <v>3027</v>
          </cell>
          <cell r="DN284">
            <v>141618</v>
          </cell>
          <cell r="DO284">
            <v>284</v>
          </cell>
        </row>
        <row r="285">
          <cell r="A285" t="str">
            <v>Racine, WI Metro Area</v>
          </cell>
          <cell r="B285">
            <v>20614</v>
          </cell>
          <cell r="C285">
            <v>30173</v>
          </cell>
          <cell r="D285">
            <v>31917</v>
          </cell>
          <cell r="E285">
            <v>23882</v>
          </cell>
          <cell r="F285">
            <v>11920</v>
          </cell>
          <cell r="G285">
            <v>8636</v>
          </cell>
          <cell r="H285">
            <v>3874</v>
          </cell>
          <cell r="I285">
            <v>5444</v>
          </cell>
          <cell r="L285">
            <v>2747</v>
          </cell>
          <cell r="N285">
            <v>3497</v>
          </cell>
          <cell r="O285">
            <v>4874</v>
          </cell>
          <cell r="Q285">
            <v>623</v>
          </cell>
          <cell r="S285">
            <v>3288</v>
          </cell>
          <cell r="T285">
            <v>4762</v>
          </cell>
          <cell r="V285">
            <v>2827</v>
          </cell>
          <cell r="W285">
            <v>3826</v>
          </cell>
          <cell r="X285">
            <v>9932</v>
          </cell>
          <cell r="Z285">
            <v>10505</v>
          </cell>
          <cell r="AA285">
            <v>5509</v>
          </cell>
          <cell r="DN285">
            <v>188850</v>
          </cell>
          <cell r="DO285">
            <v>285</v>
          </cell>
        </row>
        <row r="286">
          <cell r="A286" t="str">
            <v>Raleigh-Cary, NC Metro Area</v>
          </cell>
          <cell r="B286">
            <v>10067</v>
          </cell>
          <cell r="C286">
            <v>23597</v>
          </cell>
          <cell r="D286">
            <v>56743</v>
          </cell>
          <cell r="E286">
            <v>28153</v>
          </cell>
          <cell r="F286">
            <v>38311</v>
          </cell>
          <cell r="G286">
            <v>60318</v>
          </cell>
          <cell r="H286">
            <v>57255</v>
          </cell>
          <cell r="I286">
            <v>51110</v>
          </cell>
          <cell r="J286">
            <v>57637</v>
          </cell>
          <cell r="K286">
            <v>49920</v>
          </cell>
          <cell r="L286">
            <v>30797</v>
          </cell>
          <cell r="M286">
            <v>39075</v>
          </cell>
          <cell r="N286">
            <v>44443</v>
          </cell>
          <cell r="O286">
            <v>25870</v>
          </cell>
          <cell r="P286">
            <v>19946</v>
          </cell>
          <cell r="Q286">
            <v>24426</v>
          </cell>
          <cell r="R286">
            <v>37459</v>
          </cell>
          <cell r="S286">
            <v>4892</v>
          </cell>
          <cell r="T286">
            <v>5793</v>
          </cell>
          <cell r="U286">
            <v>11136</v>
          </cell>
          <cell r="V286">
            <v>21162</v>
          </cell>
          <cell r="W286">
            <v>9873</v>
          </cell>
          <cell r="Y286">
            <v>5284</v>
          </cell>
          <cell r="Z286">
            <v>12291</v>
          </cell>
          <cell r="AA286">
            <v>13835</v>
          </cell>
          <cell r="AB286">
            <v>3910</v>
          </cell>
          <cell r="AC286">
            <v>12119</v>
          </cell>
          <cell r="AD286">
            <v>4539</v>
          </cell>
          <cell r="AE286">
            <v>6860</v>
          </cell>
          <cell r="AF286">
            <v>11767</v>
          </cell>
          <cell r="AI286">
            <v>5466</v>
          </cell>
          <cell r="AJ286">
            <v>5376</v>
          </cell>
          <cell r="AK286">
            <v>4294</v>
          </cell>
          <cell r="AM286">
            <v>3454</v>
          </cell>
          <cell r="DN286">
            <v>797178</v>
          </cell>
          <cell r="DO286">
            <v>286</v>
          </cell>
        </row>
        <row r="287">
          <cell r="A287" t="str">
            <v>Rapid City, SD Metro Area</v>
          </cell>
          <cell r="B287">
            <v>9280</v>
          </cell>
          <cell r="C287">
            <v>20582</v>
          </cell>
          <cell r="D287">
            <v>15948</v>
          </cell>
          <cell r="E287">
            <v>9850</v>
          </cell>
          <cell r="F287">
            <v>11168</v>
          </cell>
          <cell r="G287">
            <v>10656</v>
          </cell>
          <cell r="J287">
            <v>3444</v>
          </cell>
          <cell r="K287">
            <v>6005</v>
          </cell>
          <cell r="N287">
            <v>1861</v>
          </cell>
          <cell r="O287">
            <v>4438</v>
          </cell>
          <cell r="R287">
            <v>3785</v>
          </cell>
          <cell r="U287">
            <v>4776</v>
          </cell>
          <cell r="AB287">
            <v>6866</v>
          </cell>
          <cell r="AE287">
            <v>4186</v>
          </cell>
          <cell r="DN287">
            <v>112845</v>
          </cell>
          <cell r="DO287">
            <v>287</v>
          </cell>
        </row>
        <row r="288">
          <cell r="A288" t="str">
            <v>Reading, PA Metro Area</v>
          </cell>
          <cell r="B288">
            <v>47293</v>
          </cell>
          <cell r="C288">
            <v>39077</v>
          </cell>
          <cell r="D288">
            <v>18544</v>
          </cell>
          <cell r="E288">
            <v>43279</v>
          </cell>
          <cell r="F288">
            <v>29417</v>
          </cell>
          <cell r="G288">
            <v>22874</v>
          </cell>
          <cell r="H288">
            <v>9867</v>
          </cell>
          <cell r="I288">
            <v>32277</v>
          </cell>
          <cell r="J288">
            <v>7148</v>
          </cell>
          <cell r="K288">
            <v>11803</v>
          </cell>
          <cell r="L288">
            <v>19078</v>
          </cell>
          <cell r="M288">
            <v>7327</v>
          </cell>
          <cell r="N288">
            <v>15034</v>
          </cell>
          <cell r="O288">
            <v>3086</v>
          </cell>
          <cell r="P288">
            <v>21763</v>
          </cell>
          <cell r="Q288">
            <v>8212</v>
          </cell>
          <cell r="R288">
            <v>20778</v>
          </cell>
          <cell r="S288">
            <v>7620</v>
          </cell>
          <cell r="U288">
            <v>3174</v>
          </cell>
          <cell r="V288">
            <v>5975</v>
          </cell>
          <cell r="DN288">
            <v>373626</v>
          </cell>
          <cell r="DO288">
            <v>288</v>
          </cell>
        </row>
        <row r="289">
          <cell r="A289" t="str">
            <v>Redding, CA Metro Area</v>
          </cell>
          <cell r="B289">
            <v>4048</v>
          </cell>
          <cell r="C289">
            <v>21444</v>
          </cell>
          <cell r="D289">
            <v>36286</v>
          </cell>
          <cell r="E289">
            <v>20077</v>
          </cell>
          <cell r="F289">
            <v>1281</v>
          </cell>
          <cell r="G289">
            <v>5171</v>
          </cell>
          <cell r="H289">
            <v>12505</v>
          </cell>
          <cell r="I289">
            <v>16734</v>
          </cell>
          <cell r="J289">
            <v>7717</v>
          </cell>
          <cell r="K289">
            <v>8940</v>
          </cell>
          <cell r="N289">
            <v>3748</v>
          </cell>
          <cell r="O289">
            <v>4985</v>
          </cell>
          <cell r="T289">
            <v>2020</v>
          </cell>
          <cell r="U289">
            <v>4815</v>
          </cell>
          <cell r="AA289">
            <v>1608</v>
          </cell>
          <cell r="AB289">
            <v>3785</v>
          </cell>
          <cell r="AT289">
            <v>4702</v>
          </cell>
          <cell r="BF289">
            <v>3380</v>
          </cell>
          <cell r="DN289">
            <v>163246</v>
          </cell>
          <cell r="DO289">
            <v>289</v>
          </cell>
        </row>
        <row r="290">
          <cell r="A290" t="str">
            <v>Reno-Sparks, NV Metro Area</v>
          </cell>
          <cell r="B290">
            <v>21303</v>
          </cell>
          <cell r="C290">
            <v>46121</v>
          </cell>
          <cell r="D290">
            <v>53145</v>
          </cell>
          <cell r="E290">
            <v>52016</v>
          </cell>
          <cell r="F290">
            <v>43837</v>
          </cell>
          <cell r="G290">
            <v>29909</v>
          </cell>
          <cell r="H290">
            <v>14707</v>
          </cell>
          <cell r="I290">
            <v>14022</v>
          </cell>
          <cell r="J290">
            <v>20052</v>
          </cell>
          <cell r="K290">
            <v>6350</v>
          </cell>
          <cell r="L290">
            <v>8911</v>
          </cell>
          <cell r="M290">
            <v>1434</v>
          </cell>
          <cell r="O290">
            <v>13054</v>
          </cell>
          <cell r="P290">
            <v>421</v>
          </cell>
          <cell r="Q290">
            <v>2346</v>
          </cell>
          <cell r="T290">
            <v>11</v>
          </cell>
          <cell r="U290">
            <v>2994</v>
          </cell>
          <cell r="V290">
            <v>6956</v>
          </cell>
          <cell r="AA290">
            <v>3592</v>
          </cell>
          <cell r="AD290">
            <v>1708</v>
          </cell>
          <cell r="DN290">
            <v>342889</v>
          </cell>
          <cell r="DO290">
            <v>290</v>
          </cell>
        </row>
        <row r="291">
          <cell r="A291" t="str">
            <v>Richmond, VA Metro Area</v>
          </cell>
          <cell r="B291">
            <v>14305</v>
          </cell>
          <cell r="C291">
            <v>38058</v>
          </cell>
          <cell r="D291">
            <v>61133</v>
          </cell>
          <cell r="E291">
            <v>48550</v>
          </cell>
          <cell r="F291">
            <v>45504</v>
          </cell>
          <cell r="G291">
            <v>68331</v>
          </cell>
          <cell r="H291">
            <v>51336</v>
          </cell>
          <cell r="I291">
            <v>61179</v>
          </cell>
          <cell r="J291">
            <v>65191</v>
          </cell>
          <cell r="K291">
            <v>58729</v>
          </cell>
          <cell r="L291">
            <v>53228</v>
          </cell>
          <cell r="M291">
            <v>65310</v>
          </cell>
          <cell r="N291">
            <v>40016</v>
          </cell>
          <cell r="O291">
            <v>24982</v>
          </cell>
          <cell r="P291">
            <v>38037</v>
          </cell>
          <cell r="Q291">
            <v>29551</v>
          </cell>
          <cell r="R291">
            <v>16645</v>
          </cell>
          <cell r="S291">
            <v>5081</v>
          </cell>
          <cell r="T291">
            <v>39304</v>
          </cell>
          <cell r="U291">
            <v>22161</v>
          </cell>
          <cell r="V291">
            <v>17232</v>
          </cell>
          <cell r="W291">
            <v>28248</v>
          </cell>
          <cell r="X291">
            <v>25174</v>
          </cell>
          <cell r="Y291">
            <v>24333</v>
          </cell>
          <cell r="Z291">
            <v>3761</v>
          </cell>
          <cell r="AA291">
            <v>15783</v>
          </cell>
          <cell r="AB291">
            <v>13993</v>
          </cell>
          <cell r="AC291">
            <v>3560</v>
          </cell>
          <cell r="AD291">
            <v>5361</v>
          </cell>
          <cell r="AE291">
            <v>8963</v>
          </cell>
          <cell r="AF291">
            <v>4192</v>
          </cell>
          <cell r="AG291">
            <v>10105</v>
          </cell>
          <cell r="AH291">
            <v>19334</v>
          </cell>
          <cell r="AJ291">
            <v>11907</v>
          </cell>
          <cell r="AL291">
            <v>7728</v>
          </cell>
          <cell r="AM291">
            <v>5180</v>
          </cell>
          <cell r="AN291">
            <v>7775</v>
          </cell>
          <cell r="AO291">
            <v>3223</v>
          </cell>
          <cell r="AP291">
            <v>2111</v>
          </cell>
          <cell r="AQ291">
            <v>2</v>
          </cell>
          <cell r="AR291">
            <v>12083</v>
          </cell>
          <cell r="AT291">
            <v>2221</v>
          </cell>
          <cell r="AV291">
            <v>8850</v>
          </cell>
          <cell r="BA291">
            <v>3286</v>
          </cell>
          <cell r="BC291">
            <v>6014</v>
          </cell>
          <cell r="DN291">
            <v>1097050</v>
          </cell>
          <cell r="DO291">
            <v>291</v>
          </cell>
        </row>
        <row r="292">
          <cell r="A292" t="str">
            <v>Riverside-San Bernardino-Ontario, CA Metro Area</v>
          </cell>
          <cell r="B292">
            <v>19364</v>
          </cell>
          <cell r="C292">
            <v>34597</v>
          </cell>
          <cell r="D292">
            <v>55153</v>
          </cell>
          <cell r="E292">
            <v>49950</v>
          </cell>
          <cell r="F292">
            <v>46571</v>
          </cell>
          <cell r="G292">
            <v>63659</v>
          </cell>
          <cell r="H292">
            <v>87231</v>
          </cell>
          <cell r="I292">
            <v>152855</v>
          </cell>
          <cell r="J292">
            <v>170667</v>
          </cell>
          <cell r="K292">
            <v>141356</v>
          </cell>
          <cell r="L292">
            <v>120842</v>
          </cell>
          <cell r="M292">
            <v>100657</v>
          </cell>
          <cell r="N292">
            <v>133165</v>
          </cell>
          <cell r="O292">
            <v>137174</v>
          </cell>
          <cell r="P292">
            <v>131922</v>
          </cell>
          <cell r="Q292">
            <v>126972</v>
          </cell>
          <cell r="R292">
            <v>135027</v>
          </cell>
          <cell r="S292">
            <v>73784</v>
          </cell>
          <cell r="T292">
            <v>115972</v>
          </cell>
          <cell r="U292">
            <v>96713</v>
          </cell>
          <cell r="V292">
            <v>63120</v>
          </cell>
          <cell r="W292">
            <v>76618</v>
          </cell>
          <cell r="X292">
            <v>27768</v>
          </cell>
          <cell r="Y292">
            <v>27352</v>
          </cell>
          <cell r="Z292">
            <v>13591</v>
          </cell>
          <cell r="AA292">
            <v>23273</v>
          </cell>
          <cell r="AB292">
            <v>30101</v>
          </cell>
          <cell r="AC292">
            <v>37865</v>
          </cell>
          <cell r="AD292">
            <v>42501</v>
          </cell>
          <cell r="AE292">
            <v>64522</v>
          </cell>
          <cell r="AF292">
            <v>31439</v>
          </cell>
          <cell r="AG292">
            <v>50577</v>
          </cell>
          <cell r="AH292">
            <v>11450</v>
          </cell>
          <cell r="AI292">
            <v>31279</v>
          </cell>
          <cell r="AJ292">
            <v>35504</v>
          </cell>
          <cell r="AK292">
            <v>55024</v>
          </cell>
          <cell r="AL292">
            <v>38954</v>
          </cell>
          <cell r="AM292">
            <v>37637</v>
          </cell>
          <cell r="AN292">
            <v>36836</v>
          </cell>
          <cell r="AO292">
            <v>20755</v>
          </cell>
          <cell r="AP292">
            <v>12536</v>
          </cell>
          <cell r="AQ292">
            <v>7412</v>
          </cell>
          <cell r="AS292">
            <v>3895</v>
          </cell>
          <cell r="AV292">
            <v>7707</v>
          </cell>
          <cell r="AW292">
            <v>4523</v>
          </cell>
          <cell r="AX292">
            <v>8124</v>
          </cell>
          <cell r="AY292">
            <v>24466</v>
          </cell>
          <cell r="AZ292">
            <v>21530</v>
          </cell>
          <cell r="BA292">
            <v>10292</v>
          </cell>
          <cell r="BB292">
            <v>11891</v>
          </cell>
          <cell r="BC292">
            <v>29317</v>
          </cell>
          <cell r="BD292">
            <v>13497</v>
          </cell>
          <cell r="BE292">
            <v>8861</v>
          </cell>
          <cell r="BF292">
            <v>19168</v>
          </cell>
          <cell r="BG292">
            <v>9729</v>
          </cell>
          <cell r="BH292">
            <v>6697</v>
          </cell>
          <cell r="BI292">
            <v>21194</v>
          </cell>
          <cell r="BJ292">
            <v>12098</v>
          </cell>
          <cell r="BK292">
            <v>9755</v>
          </cell>
          <cell r="BL292">
            <v>6748</v>
          </cell>
          <cell r="BM292">
            <v>12043</v>
          </cell>
          <cell r="BN292">
            <v>21804</v>
          </cell>
          <cell r="BO292">
            <v>25484</v>
          </cell>
          <cell r="BP292">
            <v>15761</v>
          </cell>
          <cell r="BQ292">
            <v>21496</v>
          </cell>
          <cell r="BR292">
            <v>20651</v>
          </cell>
          <cell r="BS292">
            <v>9588</v>
          </cell>
          <cell r="BT292">
            <v>5436</v>
          </cell>
          <cell r="BU292">
            <v>12120</v>
          </cell>
          <cell r="BV292">
            <v>8715</v>
          </cell>
          <cell r="BW292">
            <v>7197</v>
          </cell>
          <cell r="BX292">
            <v>4647</v>
          </cell>
          <cell r="BZ292">
            <v>14638</v>
          </cell>
          <cell r="CA292">
            <v>13988</v>
          </cell>
          <cell r="CE292">
            <v>2841</v>
          </cell>
          <cell r="CF292">
            <v>10076</v>
          </cell>
          <cell r="CJ292">
            <v>4158</v>
          </cell>
          <cell r="CT292">
            <v>9469</v>
          </cell>
          <cell r="CY292">
            <v>2293</v>
          </cell>
          <cell r="DA292">
            <v>2818</v>
          </cell>
          <cell r="DB292">
            <v>8308</v>
          </cell>
          <cell r="DC292">
            <v>1935</v>
          </cell>
          <cell r="DD292">
            <v>4865</v>
          </cell>
          <cell r="DE292">
            <v>6187</v>
          </cell>
          <cell r="DF292">
            <v>1619</v>
          </cell>
          <cell r="DG292">
            <v>235</v>
          </cell>
          <cell r="DH292">
            <v>3641</v>
          </cell>
          <cell r="DI292">
            <v>2007</v>
          </cell>
          <cell r="DJ292">
            <v>1545</v>
          </cell>
          <cell r="DN292">
            <v>3254802</v>
          </cell>
          <cell r="DO292">
            <v>292</v>
          </cell>
        </row>
        <row r="293">
          <cell r="A293" t="str">
            <v>Roanoke, VA Metro Area</v>
          </cell>
          <cell r="B293">
            <v>9727</v>
          </cell>
          <cell r="C293">
            <v>23467</v>
          </cell>
          <cell r="D293">
            <v>43791</v>
          </cell>
          <cell r="E293">
            <v>31192</v>
          </cell>
          <cell r="F293">
            <v>25340</v>
          </cell>
          <cell r="G293">
            <v>42203</v>
          </cell>
          <cell r="H293">
            <v>9514</v>
          </cell>
          <cell r="I293">
            <v>6009</v>
          </cell>
          <cell r="J293">
            <v>13780</v>
          </cell>
          <cell r="K293">
            <v>9156</v>
          </cell>
          <cell r="L293">
            <v>3605</v>
          </cell>
          <cell r="M293">
            <v>10631</v>
          </cell>
          <cell r="N293">
            <v>2301</v>
          </cell>
          <cell r="O293">
            <v>4472</v>
          </cell>
          <cell r="Q293">
            <v>7036</v>
          </cell>
          <cell r="R293">
            <v>2536</v>
          </cell>
          <cell r="T293">
            <v>9749</v>
          </cell>
          <cell r="U293">
            <v>9967</v>
          </cell>
          <cell r="W293">
            <v>4208</v>
          </cell>
          <cell r="X293">
            <v>2145</v>
          </cell>
          <cell r="AA293">
            <v>5265</v>
          </cell>
          <cell r="AB293">
            <v>3056</v>
          </cell>
          <cell r="AC293">
            <v>9225</v>
          </cell>
          <cell r="DN293">
            <v>288375</v>
          </cell>
          <cell r="DO293">
            <v>293</v>
          </cell>
        </row>
        <row r="294">
          <cell r="A294" t="str">
            <v>Rochester, MN Metro Area</v>
          </cell>
          <cell r="B294">
            <v>16767</v>
          </cell>
          <cell r="C294">
            <v>26525</v>
          </cell>
          <cell r="D294">
            <v>24795</v>
          </cell>
          <cell r="E294">
            <v>18142</v>
          </cell>
          <cell r="F294">
            <v>2830</v>
          </cell>
          <cell r="G294">
            <v>10461</v>
          </cell>
          <cell r="I294">
            <v>3486</v>
          </cell>
          <cell r="K294">
            <v>9631</v>
          </cell>
          <cell r="M294">
            <v>5660</v>
          </cell>
          <cell r="O294">
            <v>5976</v>
          </cell>
          <cell r="P294">
            <v>4481</v>
          </cell>
          <cell r="Q294">
            <v>3700</v>
          </cell>
          <cell r="S294">
            <v>6442</v>
          </cell>
          <cell r="T294">
            <v>4318</v>
          </cell>
          <cell r="U294">
            <v>7029</v>
          </cell>
          <cell r="AA294">
            <v>2525</v>
          </cell>
          <cell r="AD294">
            <v>3575</v>
          </cell>
          <cell r="AF294">
            <v>4398</v>
          </cell>
          <cell r="AH294">
            <v>2886</v>
          </cell>
          <cell r="DN294">
            <v>163627</v>
          </cell>
          <cell r="DO294">
            <v>294</v>
          </cell>
        </row>
        <row r="295">
          <cell r="A295" t="str">
            <v>Rochester, NY Metro Area</v>
          </cell>
          <cell r="B295">
            <v>21334</v>
          </cell>
          <cell r="C295">
            <v>86007</v>
          </cell>
          <cell r="D295">
            <v>95110</v>
          </cell>
          <cell r="E295">
            <v>57049</v>
          </cell>
          <cell r="F295">
            <v>56514</v>
          </cell>
          <cell r="G295">
            <v>75104</v>
          </cell>
          <cell r="H295">
            <v>75478</v>
          </cell>
          <cell r="I295">
            <v>52705</v>
          </cell>
          <cell r="J295">
            <v>49366</v>
          </cell>
          <cell r="K295">
            <v>50217</v>
          </cell>
          <cell r="L295">
            <v>34384</v>
          </cell>
          <cell r="M295">
            <v>24998</v>
          </cell>
          <cell r="N295">
            <v>17006</v>
          </cell>
          <cell r="O295">
            <v>14827</v>
          </cell>
          <cell r="P295">
            <v>6320</v>
          </cell>
          <cell r="Q295">
            <v>11857</v>
          </cell>
          <cell r="R295">
            <v>26710</v>
          </cell>
          <cell r="S295">
            <v>27111</v>
          </cell>
          <cell r="T295">
            <v>3134</v>
          </cell>
          <cell r="U295">
            <v>15518</v>
          </cell>
          <cell r="V295">
            <v>3556</v>
          </cell>
          <cell r="W295">
            <v>18544</v>
          </cell>
          <cell r="X295">
            <v>13748</v>
          </cell>
          <cell r="Y295">
            <v>7336</v>
          </cell>
          <cell r="Z295">
            <v>15142</v>
          </cell>
          <cell r="AA295">
            <v>10462</v>
          </cell>
          <cell r="AB295">
            <v>7947</v>
          </cell>
          <cell r="AC295">
            <v>26460</v>
          </cell>
          <cell r="AD295">
            <v>16425</v>
          </cell>
          <cell r="AE295">
            <v>6362</v>
          </cell>
          <cell r="AF295">
            <v>12271</v>
          </cell>
          <cell r="AG295">
            <v>10816</v>
          </cell>
          <cell r="AH295">
            <v>14350</v>
          </cell>
          <cell r="AI295">
            <v>4791</v>
          </cell>
          <cell r="AJ295">
            <v>2751</v>
          </cell>
          <cell r="AK295">
            <v>31</v>
          </cell>
          <cell r="AM295">
            <v>21311</v>
          </cell>
          <cell r="AN295">
            <v>5140</v>
          </cell>
          <cell r="AO295">
            <v>26219</v>
          </cell>
          <cell r="AQ295">
            <v>4908</v>
          </cell>
          <cell r="AR295">
            <v>4705</v>
          </cell>
          <cell r="AS295">
            <v>3905</v>
          </cell>
          <cell r="DN295">
            <v>1037929</v>
          </cell>
          <cell r="DO295">
            <v>295</v>
          </cell>
        </row>
        <row r="296">
          <cell r="A296" t="str">
            <v>Rockford, IL Metro Area</v>
          </cell>
          <cell r="B296">
            <v>15809</v>
          </cell>
          <cell r="C296">
            <v>43826</v>
          </cell>
          <cell r="D296">
            <v>43556</v>
          </cell>
          <cell r="E296">
            <v>47695</v>
          </cell>
          <cell r="F296">
            <v>19990</v>
          </cell>
          <cell r="G296">
            <v>27862</v>
          </cell>
          <cell r="H296">
            <v>24770</v>
          </cell>
          <cell r="I296">
            <v>10393</v>
          </cell>
          <cell r="J296">
            <v>5659</v>
          </cell>
          <cell r="L296">
            <v>10458</v>
          </cell>
          <cell r="M296">
            <v>6892</v>
          </cell>
          <cell r="N296">
            <v>24651</v>
          </cell>
          <cell r="O296">
            <v>21813</v>
          </cell>
          <cell r="P296">
            <v>6006</v>
          </cell>
          <cell r="Q296">
            <v>2176</v>
          </cell>
          <cell r="R296">
            <v>5168</v>
          </cell>
          <cell r="T296">
            <v>3504</v>
          </cell>
          <cell r="DN296">
            <v>320228</v>
          </cell>
          <cell r="DO296">
            <v>296</v>
          </cell>
        </row>
        <row r="297">
          <cell r="A297" t="str">
            <v>Rocky Mount, NC Metro Area</v>
          </cell>
          <cell r="B297">
            <v>4096</v>
          </cell>
          <cell r="C297">
            <v>30842</v>
          </cell>
          <cell r="D297">
            <v>6237</v>
          </cell>
          <cell r="E297">
            <v>14336</v>
          </cell>
          <cell r="F297">
            <v>2820</v>
          </cell>
          <cell r="G297">
            <v>3932</v>
          </cell>
          <cell r="H297">
            <v>11923</v>
          </cell>
          <cell r="J297">
            <v>8822</v>
          </cell>
          <cell r="K297">
            <v>6768</v>
          </cell>
          <cell r="L297">
            <v>4384</v>
          </cell>
          <cell r="N297">
            <v>2272</v>
          </cell>
          <cell r="O297">
            <v>16581</v>
          </cell>
          <cell r="P297">
            <v>5285</v>
          </cell>
          <cell r="Q297">
            <v>3126</v>
          </cell>
          <cell r="R297">
            <v>4329</v>
          </cell>
          <cell r="S297">
            <v>4172</v>
          </cell>
          <cell r="T297">
            <v>3594</v>
          </cell>
          <cell r="V297">
            <v>3644</v>
          </cell>
          <cell r="Y297">
            <v>5828</v>
          </cell>
          <cell r="DN297">
            <v>142991</v>
          </cell>
          <cell r="DO297">
            <v>297</v>
          </cell>
        </row>
        <row r="298">
          <cell r="A298" t="str">
            <v>Rome, GA Metro Area</v>
          </cell>
          <cell r="B298">
            <v>2963</v>
          </cell>
          <cell r="C298">
            <v>10700</v>
          </cell>
          <cell r="D298">
            <v>17494</v>
          </cell>
          <cell r="F298">
            <v>18549</v>
          </cell>
          <cell r="G298">
            <v>15792</v>
          </cell>
          <cell r="H298">
            <v>5864</v>
          </cell>
          <cell r="J298">
            <v>10642</v>
          </cell>
          <cell r="L298">
            <v>4052</v>
          </cell>
          <cell r="N298">
            <v>4561</v>
          </cell>
          <cell r="DN298">
            <v>90617</v>
          </cell>
          <cell r="DO298">
            <v>298</v>
          </cell>
        </row>
        <row r="299">
          <cell r="A299" t="str">
            <v>Sacramento--Arden-Arcade--Roseville, CA Metro Area</v>
          </cell>
          <cell r="B299">
            <v>17336</v>
          </cell>
          <cell r="C299">
            <v>30975</v>
          </cell>
          <cell r="D299">
            <v>85007</v>
          </cell>
          <cell r="E299">
            <v>71965</v>
          </cell>
          <cell r="F299">
            <v>83505</v>
          </cell>
          <cell r="G299">
            <v>112083</v>
          </cell>
          <cell r="H299">
            <v>80723</v>
          </cell>
          <cell r="I299">
            <v>91264</v>
          </cell>
          <cell r="J299">
            <v>82399</v>
          </cell>
          <cell r="K299">
            <v>97828</v>
          </cell>
          <cell r="L299">
            <v>106667</v>
          </cell>
          <cell r="M299">
            <v>110345</v>
          </cell>
          <cell r="N299">
            <v>69964</v>
          </cell>
          <cell r="O299">
            <v>69470</v>
          </cell>
          <cell r="P299">
            <v>68070</v>
          </cell>
          <cell r="Q299">
            <v>84770</v>
          </cell>
          <cell r="R299">
            <v>60044</v>
          </cell>
          <cell r="S299">
            <v>45311</v>
          </cell>
          <cell r="T299">
            <v>28424</v>
          </cell>
          <cell r="U299">
            <v>46513</v>
          </cell>
          <cell r="V299">
            <v>21295</v>
          </cell>
          <cell r="W299">
            <v>14768</v>
          </cell>
          <cell r="X299">
            <v>12128</v>
          </cell>
          <cell r="Y299">
            <v>32014</v>
          </cell>
          <cell r="Z299">
            <v>28724</v>
          </cell>
          <cell r="AA299">
            <v>12581</v>
          </cell>
          <cell r="AB299">
            <v>7568</v>
          </cell>
          <cell r="AC299">
            <v>16714</v>
          </cell>
          <cell r="AD299">
            <v>12124</v>
          </cell>
          <cell r="AE299">
            <v>5746</v>
          </cell>
          <cell r="AF299">
            <v>9208</v>
          </cell>
          <cell r="AG299">
            <v>13034</v>
          </cell>
          <cell r="AH299">
            <v>12159</v>
          </cell>
          <cell r="AI299">
            <v>21339</v>
          </cell>
          <cell r="AJ299">
            <v>2652</v>
          </cell>
          <cell r="AK299">
            <v>4080</v>
          </cell>
          <cell r="AL299">
            <v>5652</v>
          </cell>
          <cell r="AM299">
            <v>11009</v>
          </cell>
          <cell r="AN299">
            <v>4260</v>
          </cell>
          <cell r="AO299">
            <v>15669</v>
          </cell>
          <cell r="AP299">
            <v>3064</v>
          </cell>
          <cell r="AS299">
            <v>2256</v>
          </cell>
          <cell r="AT299">
            <v>22155</v>
          </cell>
          <cell r="AY299">
            <v>12364</v>
          </cell>
          <cell r="BC299">
            <v>2695</v>
          </cell>
          <cell r="BR299">
            <v>94</v>
          </cell>
          <cell r="CC299">
            <v>2197</v>
          </cell>
          <cell r="CD299">
            <v>2187</v>
          </cell>
          <cell r="CE299">
            <v>3045</v>
          </cell>
          <cell r="CF299">
            <v>3975</v>
          </cell>
          <cell r="CG299">
            <v>8414</v>
          </cell>
          <cell r="CH299">
            <v>5982</v>
          </cell>
          <cell r="CI299">
            <v>4801</v>
          </cell>
          <cell r="CJ299">
            <v>5082</v>
          </cell>
          <cell r="CK299">
            <v>7428</v>
          </cell>
          <cell r="CN299">
            <v>1934</v>
          </cell>
          <cell r="CO299">
            <v>3776</v>
          </cell>
          <cell r="DN299">
            <v>1796836</v>
          </cell>
          <cell r="DO299">
            <v>299</v>
          </cell>
        </row>
        <row r="300">
          <cell r="A300" t="str">
            <v>Saginaw-Saginaw Township North, MI Metro Area</v>
          </cell>
          <cell r="B300">
            <v>11348</v>
          </cell>
          <cell r="C300">
            <v>38330</v>
          </cell>
          <cell r="D300">
            <v>31019</v>
          </cell>
          <cell r="E300">
            <v>19366</v>
          </cell>
          <cell r="F300">
            <v>21797</v>
          </cell>
          <cell r="G300">
            <v>14004</v>
          </cell>
          <cell r="H300">
            <v>5012</v>
          </cell>
          <cell r="I300">
            <v>2510</v>
          </cell>
          <cell r="J300">
            <v>7980</v>
          </cell>
          <cell r="K300">
            <v>2015</v>
          </cell>
          <cell r="L300">
            <v>2398</v>
          </cell>
          <cell r="M300">
            <v>19234</v>
          </cell>
          <cell r="O300">
            <v>3657</v>
          </cell>
          <cell r="P300">
            <v>15460</v>
          </cell>
          <cell r="R300">
            <v>3122</v>
          </cell>
          <cell r="S300">
            <v>1983</v>
          </cell>
          <cell r="T300">
            <v>4787</v>
          </cell>
          <cell r="U300">
            <v>1710</v>
          </cell>
          <cell r="X300">
            <v>4319</v>
          </cell>
          <cell r="DN300">
            <v>210051</v>
          </cell>
          <cell r="DO300">
            <v>300</v>
          </cell>
        </row>
        <row r="301">
          <cell r="A301" t="str">
            <v>St. Cloud, MN Metro Area</v>
          </cell>
          <cell r="B301">
            <v>13733</v>
          </cell>
          <cell r="C301">
            <v>28234</v>
          </cell>
          <cell r="D301">
            <v>8259</v>
          </cell>
          <cell r="E301">
            <v>20435</v>
          </cell>
          <cell r="F301">
            <v>6634</v>
          </cell>
          <cell r="G301">
            <v>2123</v>
          </cell>
          <cell r="H301">
            <v>8489</v>
          </cell>
          <cell r="I301">
            <v>6221</v>
          </cell>
          <cell r="L301">
            <v>15146</v>
          </cell>
          <cell r="O301">
            <v>2659</v>
          </cell>
          <cell r="P301">
            <v>11317</v>
          </cell>
          <cell r="Q301">
            <v>11247</v>
          </cell>
          <cell r="V301">
            <v>6016</v>
          </cell>
          <cell r="W301">
            <v>6478</v>
          </cell>
          <cell r="AE301">
            <v>3402</v>
          </cell>
          <cell r="AF301">
            <v>3725</v>
          </cell>
          <cell r="AI301">
            <v>3670</v>
          </cell>
          <cell r="AP301">
            <v>9655</v>
          </cell>
          <cell r="DN301">
            <v>167443</v>
          </cell>
          <cell r="DO301">
            <v>301</v>
          </cell>
        </row>
        <row r="302">
          <cell r="A302" t="str">
            <v>St. George, UT Metro Area</v>
          </cell>
          <cell r="B302">
            <v>7588</v>
          </cell>
          <cell r="C302">
            <v>9419</v>
          </cell>
          <cell r="D302">
            <v>18505</v>
          </cell>
          <cell r="E302">
            <v>7264</v>
          </cell>
          <cell r="F302">
            <v>22739</v>
          </cell>
          <cell r="H302">
            <v>4304</v>
          </cell>
          <cell r="P302">
            <v>5844</v>
          </cell>
          <cell r="R302">
            <v>2595</v>
          </cell>
          <cell r="T302">
            <v>3338</v>
          </cell>
          <cell r="Z302">
            <v>6391</v>
          </cell>
          <cell r="AD302">
            <v>2338</v>
          </cell>
          <cell r="DN302">
            <v>90325</v>
          </cell>
          <cell r="DO302">
            <v>302</v>
          </cell>
        </row>
        <row r="303">
          <cell r="A303" t="str">
            <v>St. Joseph, MO-KS Metro Area</v>
          </cell>
          <cell r="B303">
            <v>9459</v>
          </cell>
          <cell r="C303">
            <v>27555</v>
          </cell>
          <cell r="D303">
            <v>8738</v>
          </cell>
          <cell r="E303">
            <v>25513</v>
          </cell>
          <cell r="F303">
            <v>7342</v>
          </cell>
          <cell r="G303">
            <v>5239</v>
          </cell>
          <cell r="K303">
            <v>7536</v>
          </cell>
          <cell r="L303">
            <v>3328</v>
          </cell>
          <cell r="M303">
            <v>6159</v>
          </cell>
          <cell r="O303">
            <v>2322</v>
          </cell>
          <cell r="P303">
            <v>1924</v>
          </cell>
          <cell r="R303">
            <v>3165</v>
          </cell>
          <cell r="T303">
            <v>4101</v>
          </cell>
          <cell r="X303">
            <v>2480</v>
          </cell>
          <cell r="AG303">
            <v>8989</v>
          </cell>
          <cell r="DN303">
            <v>123850</v>
          </cell>
          <cell r="DO303">
            <v>303</v>
          </cell>
        </row>
        <row r="304">
          <cell r="A304" t="str">
            <v>St. Louis, MO-IL Metro Area</v>
          </cell>
          <cell r="B304">
            <v>11525</v>
          </cell>
          <cell r="C304">
            <v>22778</v>
          </cell>
          <cell r="D304">
            <v>61258</v>
          </cell>
          <cell r="E304">
            <v>76709</v>
          </cell>
          <cell r="F304">
            <v>101577</v>
          </cell>
          <cell r="G304">
            <v>97764</v>
          </cell>
          <cell r="H304">
            <v>114337</v>
          </cell>
          <cell r="I304">
            <v>121476</v>
          </cell>
          <cell r="J304">
            <v>107155</v>
          </cell>
          <cell r="K304">
            <v>98919</v>
          </cell>
          <cell r="L304">
            <v>109387</v>
          </cell>
          <cell r="M304">
            <v>106600</v>
          </cell>
          <cell r="N304">
            <v>136712</v>
          </cell>
          <cell r="O304">
            <v>81166</v>
          </cell>
          <cell r="P304">
            <v>118353</v>
          </cell>
          <cell r="Q304">
            <v>130577</v>
          </cell>
          <cell r="R304">
            <v>54806</v>
          </cell>
          <cell r="S304">
            <v>79265</v>
          </cell>
          <cell r="T304">
            <v>104754</v>
          </cell>
          <cell r="U304">
            <v>84193</v>
          </cell>
          <cell r="V304">
            <v>80971</v>
          </cell>
          <cell r="W304">
            <v>67057</v>
          </cell>
          <cell r="X304">
            <v>58312</v>
          </cell>
          <cell r="Y304">
            <v>67935</v>
          </cell>
          <cell r="Z304">
            <v>24880</v>
          </cell>
          <cell r="AA304">
            <v>33234</v>
          </cell>
          <cell r="AB304">
            <v>18426</v>
          </cell>
          <cell r="AC304">
            <v>23161</v>
          </cell>
          <cell r="AD304">
            <v>36690</v>
          </cell>
          <cell r="AE304">
            <v>50782</v>
          </cell>
          <cell r="AF304">
            <v>25210</v>
          </cell>
          <cell r="AG304">
            <v>23946</v>
          </cell>
          <cell r="AH304">
            <v>22768</v>
          </cell>
          <cell r="AI304">
            <v>7130</v>
          </cell>
          <cell r="AJ304">
            <v>37252</v>
          </cell>
          <cell r="AK304">
            <v>12045</v>
          </cell>
          <cell r="AL304">
            <v>15738</v>
          </cell>
          <cell r="AM304">
            <v>27125</v>
          </cell>
          <cell r="AN304">
            <v>17950</v>
          </cell>
          <cell r="AO304">
            <v>8188</v>
          </cell>
          <cell r="AP304">
            <v>10848</v>
          </cell>
          <cell r="AQ304">
            <v>10050</v>
          </cell>
          <cell r="AR304">
            <v>2759</v>
          </cell>
          <cell r="AS304">
            <v>13203</v>
          </cell>
          <cell r="AT304">
            <v>7962</v>
          </cell>
          <cell r="AU304">
            <v>33771</v>
          </cell>
          <cell r="AV304">
            <v>17972</v>
          </cell>
          <cell r="AW304">
            <v>2705</v>
          </cell>
          <cell r="AX304">
            <v>16222</v>
          </cell>
          <cell r="AY304">
            <v>10561</v>
          </cell>
          <cell r="AZ304">
            <v>8604</v>
          </cell>
          <cell r="BA304">
            <v>7425</v>
          </cell>
          <cell r="BB304">
            <v>7665</v>
          </cell>
          <cell r="BC304">
            <v>6907</v>
          </cell>
          <cell r="BD304">
            <v>12283</v>
          </cell>
          <cell r="BE304">
            <v>9220</v>
          </cell>
          <cell r="BF304">
            <v>12496</v>
          </cell>
          <cell r="BG304">
            <v>11616</v>
          </cell>
          <cell r="BH304">
            <v>4431</v>
          </cell>
          <cell r="BI304">
            <v>3206</v>
          </cell>
          <cell r="BK304">
            <v>3643</v>
          </cell>
          <cell r="BN304">
            <v>3288</v>
          </cell>
          <cell r="BO304">
            <v>3915</v>
          </cell>
          <cell r="DN304">
            <v>2698863</v>
          </cell>
          <cell r="DO304">
            <v>304</v>
          </cell>
        </row>
        <row r="305">
          <cell r="A305" t="str">
            <v>Salem, OR Metro Area</v>
          </cell>
          <cell r="B305">
            <v>3526</v>
          </cell>
          <cell r="C305">
            <v>50272</v>
          </cell>
          <cell r="D305">
            <v>22758</v>
          </cell>
          <cell r="E305">
            <v>65718</v>
          </cell>
          <cell r="F305">
            <v>54639</v>
          </cell>
          <cell r="G305">
            <v>4095</v>
          </cell>
          <cell r="H305">
            <v>17904</v>
          </cell>
          <cell r="I305">
            <v>4981</v>
          </cell>
          <cell r="J305">
            <v>2054</v>
          </cell>
          <cell r="L305">
            <v>22158</v>
          </cell>
          <cell r="N305">
            <v>9141</v>
          </cell>
          <cell r="O305">
            <v>24018</v>
          </cell>
          <cell r="P305">
            <v>8876</v>
          </cell>
          <cell r="Q305">
            <v>12058</v>
          </cell>
          <cell r="R305">
            <v>17397</v>
          </cell>
          <cell r="S305">
            <v>8887</v>
          </cell>
          <cell r="T305">
            <v>1810</v>
          </cell>
          <cell r="W305">
            <v>11964</v>
          </cell>
          <cell r="X305">
            <v>2310</v>
          </cell>
          <cell r="AG305">
            <v>2696</v>
          </cell>
          <cell r="DN305">
            <v>347262</v>
          </cell>
          <cell r="DO305">
            <v>305</v>
          </cell>
        </row>
        <row r="306">
          <cell r="A306" t="str">
            <v>Salinas, CA Metro Area</v>
          </cell>
          <cell r="B306">
            <v>17754</v>
          </cell>
          <cell r="C306">
            <v>43178</v>
          </cell>
          <cell r="D306">
            <v>65326</v>
          </cell>
          <cell r="E306">
            <v>20931</v>
          </cell>
          <cell r="F306">
            <v>1917</v>
          </cell>
          <cell r="G306">
            <v>6512</v>
          </cell>
          <cell r="H306">
            <v>5651</v>
          </cell>
          <cell r="I306">
            <v>21516</v>
          </cell>
          <cell r="J306">
            <v>19911</v>
          </cell>
          <cell r="K306">
            <v>10387</v>
          </cell>
          <cell r="L306">
            <v>13702</v>
          </cell>
          <cell r="M306">
            <v>18283</v>
          </cell>
          <cell r="N306">
            <v>9664</v>
          </cell>
          <cell r="O306">
            <v>16234</v>
          </cell>
          <cell r="P306">
            <v>27582</v>
          </cell>
          <cell r="Q306">
            <v>24494</v>
          </cell>
          <cell r="R306">
            <v>16482</v>
          </cell>
          <cell r="S306">
            <v>4109</v>
          </cell>
          <cell r="V306">
            <v>11371</v>
          </cell>
          <cell r="Z306">
            <v>7188</v>
          </cell>
          <cell r="AA306">
            <v>5784</v>
          </cell>
          <cell r="AD306">
            <v>1453</v>
          </cell>
          <cell r="AI306">
            <v>13996</v>
          </cell>
          <cell r="AS306">
            <v>14938</v>
          </cell>
          <cell r="BM306">
            <v>3387</v>
          </cell>
          <cell r="DN306">
            <v>401750</v>
          </cell>
          <cell r="DO306">
            <v>306</v>
          </cell>
        </row>
        <row r="307">
          <cell r="A307" t="str">
            <v>Salisbury, MD Metro Area</v>
          </cell>
          <cell r="B307">
            <v>11373</v>
          </cell>
          <cell r="C307">
            <v>15802</v>
          </cell>
          <cell r="D307">
            <v>20645</v>
          </cell>
          <cell r="E307">
            <v>3008</v>
          </cell>
          <cell r="F307">
            <v>16051</v>
          </cell>
          <cell r="I307">
            <v>4133</v>
          </cell>
          <cell r="J307">
            <v>5386</v>
          </cell>
          <cell r="L307">
            <v>8236</v>
          </cell>
          <cell r="M307">
            <v>8984</v>
          </cell>
          <cell r="Q307">
            <v>3333</v>
          </cell>
          <cell r="T307">
            <v>2619</v>
          </cell>
          <cell r="X307">
            <v>2076</v>
          </cell>
          <cell r="AB307">
            <v>4565</v>
          </cell>
          <cell r="AE307">
            <v>3169</v>
          </cell>
          <cell r="DN307">
            <v>109380</v>
          </cell>
          <cell r="DO307">
            <v>307</v>
          </cell>
        </row>
        <row r="308">
          <cell r="A308" t="str">
            <v>Salt Lake City, UT Metro Area</v>
          </cell>
          <cell r="B308">
            <v>18352</v>
          </cell>
          <cell r="C308">
            <v>48015</v>
          </cell>
          <cell r="D308">
            <v>63340</v>
          </cell>
          <cell r="E308">
            <v>48214</v>
          </cell>
          <cell r="F308">
            <v>46410</v>
          </cell>
          <cell r="G308">
            <v>51278</v>
          </cell>
          <cell r="H308">
            <v>73557</v>
          </cell>
          <cell r="I308">
            <v>64730</v>
          </cell>
          <cell r="J308">
            <v>58326</v>
          </cell>
          <cell r="K308">
            <v>87429</v>
          </cell>
          <cell r="L308">
            <v>91044</v>
          </cell>
          <cell r="M308">
            <v>47766</v>
          </cell>
          <cell r="N308">
            <v>49232</v>
          </cell>
          <cell r="O308">
            <v>45103</v>
          </cell>
          <cell r="P308">
            <v>35353</v>
          </cell>
          <cell r="Q308">
            <v>22679</v>
          </cell>
          <cell r="R308">
            <v>15282</v>
          </cell>
          <cell r="S308">
            <v>24566</v>
          </cell>
          <cell r="T308">
            <v>8093</v>
          </cell>
          <cell r="U308">
            <v>12244</v>
          </cell>
          <cell r="V308">
            <v>3281</v>
          </cell>
          <cell r="W308">
            <v>4847</v>
          </cell>
          <cell r="X308">
            <v>2288</v>
          </cell>
          <cell r="Z308">
            <v>5567</v>
          </cell>
          <cell r="AA308">
            <v>8032</v>
          </cell>
          <cell r="AB308">
            <v>8788</v>
          </cell>
          <cell r="AC308">
            <v>8189</v>
          </cell>
          <cell r="AF308">
            <v>0</v>
          </cell>
          <cell r="AG308">
            <v>5439</v>
          </cell>
          <cell r="AH308">
            <v>4709</v>
          </cell>
          <cell r="AI308">
            <v>2662</v>
          </cell>
          <cell r="AT308">
            <v>117</v>
          </cell>
          <cell r="CK308">
            <v>3968</v>
          </cell>
          <cell r="DN308">
            <v>968900</v>
          </cell>
          <cell r="DO308">
            <v>308</v>
          </cell>
        </row>
        <row r="309">
          <cell r="A309" t="str">
            <v>San Angelo, TX Metro Area</v>
          </cell>
          <cell r="B309">
            <v>5291</v>
          </cell>
          <cell r="C309">
            <v>20928</v>
          </cell>
          <cell r="D309">
            <v>37442</v>
          </cell>
          <cell r="E309">
            <v>13372</v>
          </cell>
          <cell r="F309">
            <v>7885</v>
          </cell>
          <cell r="H309">
            <v>5123</v>
          </cell>
          <cell r="I309">
            <v>6277</v>
          </cell>
          <cell r="J309">
            <v>4555</v>
          </cell>
          <cell r="K309">
            <v>3144</v>
          </cell>
          <cell r="AC309">
            <v>1763</v>
          </cell>
          <cell r="DN309">
            <v>105780</v>
          </cell>
          <cell r="DO309">
            <v>309</v>
          </cell>
        </row>
        <row r="310">
          <cell r="A310" t="str">
            <v>San Antonio-New Braunfels, TX Metro Area</v>
          </cell>
          <cell r="B310">
            <v>12234</v>
          </cell>
          <cell r="C310">
            <v>51058</v>
          </cell>
          <cell r="D310">
            <v>92915</v>
          </cell>
          <cell r="E310">
            <v>104847</v>
          </cell>
          <cell r="F310">
            <v>101322</v>
          </cell>
          <cell r="G310">
            <v>134518</v>
          </cell>
          <cell r="H310">
            <v>96342</v>
          </cell>
          <cell r="I310">
            <v>105634</v>
          </cell>
          <cell r="J310">
            <v>112353</v>
          </cell>
          <cell r="K310">
            <v>109167</v>
          </cell>
          <cell r="L310">
            <v>90517</v>
          </cell>
          <cell r="M310">
            <v>130697</v>
          </cell>
          <cell r="N310">
            <v>85639</v>
          </cell>
          <cell r="O310">
            <v>52240</v>
          </cell>
          <cell r="P310">
            <v>42957</v>
          </cell>
          <cell r="Q310">
            <v>15921</v>
          </cell>
          <cell r="R310">
            <v>28699</v>
          </cell>
          <cell r="S310">
            <v>25662</v>
          </cell>
          <cell r="T310">
            <v>9126</v>
          </cell>
          <cell r="U310">
            <v>12479</v>
          </cell>
          <cell r="V310">
            <v>4975</v>
          </cell>
          <cell r="W310">
            <v>15552</v>
          </cell>
          <cell r="X310">
            <v>14275</v>
          </cell>
          <cell r="Y310">
            <v>15984</v>
          </cell>
          <cell r="Z310">
            <v>12699</v>
          </cell>
          <cell r="AA310">
            <v>5011</v>
          </cell>
          <cell r="AB310">
            <v>4609</v>
          </cell>
          <cell r="AC310">
            <v>22266</v>
          </cell>
          <cell r="AD310">
            <v>22841</v>
          </cell>
          <cell r="AE310">
            <v>19707</v>
          </cell>
          <cell r="AF310">
            <v>16114</v>
          </cell>
          <cell r="AG310">
            <v>37973</v>
          </cell>
          <cell r="AH310">
            <v>9528</v>
          </cell>
          <cell r="AI310">
            <v>9314</v>
          </cell>
          <cell r="AJ310">
            <v>17441</v>
          </cell>
          <cell r="AK310">
            <v>6641</v>
          </cell>
          <cell r="AL310">
            <v>14915</v>
          </cell>
          <cell r="AM310">
            <v>3402</v>
          </cell>
          <cell r="AN310">
            <v>12129</v>
          </cell>
          <cell r="AO310">
            <v>9306</v>
          </cell>
          <cell r="AP310">
            <v>6407</v>
          </cell>
          <cell r="AR310">
            <v>5515</v>
          </cell>
          <cell r="AS310">
            <v>2310</v>
          </cell>
          <cell r="AT310">
            <v>4293</v>
          </cell>
          <cell r="AW310">
            <v>1597</v>
          </cell>
          <cell r="BE310">
            <v>2444</v>
          </cell>
          <cell r="DN310">
            <v>1711575</v>
          </cell>
          <cell r="DO310">
            <v>310</v>
          </cell>
        </row>
        <row r="311">
          <cell r="A311" t="str">
            <v>San Diego-Carlsbad-San Marcos, CA Metro Area</v>
          </cell>
          <cell r="B311">
            <v>22298</v>
          </cell>
          <cell r="C311">
            <v>46875</v>
          </cell>
          <cell r="D311">
            <v>90021</v>
          </cell>
          <cell r="E311">
            <v>110319</v>
          </cell>
          <cell r="F311">
            <v>157088</v>
          </cell>
          <cell r="G311">
            <v>142823</v>
          </cell>
          <cell r="H311">
            <v>140295</v>
          </cell>
          <cell r="I311">
            <v>162511</v>
          </cell>
          <cell r="J311">
            <v>130035</v>
          </cell>
          <cell r="K311">
            <v>139678</v>
          </cell>
          <cell r="L311">
            <v>141224</v>
          </cell>
          <cell r="M311">
            <v>106208</v>
          </cell>
          <cell r="N311">
            <v>92219</v>
          </cell>
          <cell r="O311">
            <v>103257</v>
          </cell>
          <cell r="P311">
            <v>106744</v>
          </cell>
          <cell r="Q311">
            <v>49685</v>
          </cell>
          <cell r="R311">
            <v>64420</v>
          </cell>
          <cell r="S311">
            <v>69807</v>
          </cell>
          <cell r="T311">
            <v>41377</v>
          </cell>
          <cell r="U311">
            <v>22700</v>
          </cell>
          <cell r="V311">
            <v>36508</v>
          </cell>
          <cell r="W311">
            <v>24822</v>
          </cell>
          <cell r="X311">
            <v>33334</v>
          </cell>
          <cell r="Y311">
            <v>18930</v>
          </cell>
          <cell r="Z311">
            <v>39334</v>
          </cell>
          <cell r="AA311">
            <v>20439</v>
          </cell>
          <cell r="AB311">
            <v>20879</v>
          </cell>
          <cell r="AC311">
            <v>50886</v>
          </cell>
          <cell r="AD311">
            <v>52428</v>
          </cell>
          <cell r="AE311">
            <v>81859</v>
          </cell>
          <cell r="AF311">
            <v>55520</v>
          </cell>
          <cell r="AG311">
            <v>52062</v>
          </cell>
          <cell r="AH311">
            <v>38600</v>
          </cell>
          <cell r="AI311">
            <v>56189</v>
          </cell>
          <cell r="AJ311">
            <v>34656</v>
          </cell>
          <cell r="AK311">
            <v>70956</v>
          </cell>
          <cell r="AL311">
            <v>41247</v>
          </cell>
          <cell r="AM311">
            <v>22969</v>
          </cell>
          <cell r="AN311">
            <v>15477</v>
          </cell>
          <cell r="AO311">
            <v>8895</v>
          </cell>
          <cell r="AP311">
            <v>3183</v>
          </cell>
          <cell r="AR311">
            <v>20406</v>
          </cell>
          <cell r="AS311">
            <v>39023</v>
          </cell>
          <cell r="AU311">
            <v>12190</v>
          </cell>
          <cell r="AV311">
            <v>10485</v>
          </cell>
          <cell r="AW311">
            <v>9756</v>
          </cell>
          <cell r="BG311">
            <v>3203</v>
          </cell>
          <cell r="DN311">
            <v>2813820</v>
          </cell>
          <cell r="DO311">
            <v>311</v>
          </cell>
        </row>
        <row r="312">
          <cell r="A312" t="str">
            <v>Sandusky, OH Metro Area</v>
          </cell>
          <cell r="B312">
            <v>7752</v>
          </cell>
          <cell r="C312">
            <v>15676</v>
          </cell>
          <cell r="D312">
            <v>7132</v>
          </cell>
          <cell r="E312">
            <v>9772</v>
          </cell>
          <cell r="H312">
            <v>6882</v>
          </cell>
          <cell r="I312">
            <v>5089</v>
          </cell>
          <cell r="J312">
            <v>5207</v>
          </cell>
          <cell r="K312">
            <v>6286</v>
          </cell>
          <cell r="Q312">
            <v>6224</v>
          </cell>
          <cell r="R312">
            <v>4181</v>
          </cell>
          <cell r="S312">
            <v>5427</v>
          </cell>
          <cell r="DN312">
            <v>79628</v>
          </cell>
          <cell r="DO312">
            <v>312</v>
          </cell>
        </row>
        <row r="313">
          <cell r="A313" t="str">
            <v>San Francisco-Oakland-Fremont, CA Metro Area</v>
          </cell>
          <cell r="B313">
            <v>110018</v>
          </cell>
          <cell r="C313">
            <v>226074</v>
          </cell>
          <cell r="D313">
            <v>103657</v>
          </cell>
          <cell r="E313">
            <v>150723</v>
          </cell>
          <cell r="F313">
            <v>143484</v>
          </cell>
          <cell r="G313">
            <v>66508</v>
          </cell>
          <cell r="H313">
            <v>51634</v>
          </cell>
          <cell r="I313">
            <v>60749</v>
          </cell>
          <cell r="J313">
            <v>136946</v>
          </cell>
          <cell r="K313">
            <v>199548</v>
          </cell>
          <cell r="L313">
            <v>215686</v>
          </cell>
          <cell r="M313">
            <v>172464</v>
          </cell>
          <cell r="N313">
            <v>115709</v>
          </cell>
          <cell r="O313">
            <v>149340</v>
          </cell>
          <cell r="P313">
            <v>102744</v>
          </cell>
          <cell r="Q313">
            <v>123609</v>
          </cell>
          <cell r="R313">
            <v>98728</v>
          </cell>
          <cell r="S313">
            <v>144615</v>
          </cell>
          <cell r="T313">
            <v>81524</v>
          </cell>
          <cell r="U313">
            <v>122565</v>
          </cell>
          <cell r="V313">
            <v>115262</v>
          </cell>
          <cell r="W313">
            <v>102991</v>
          </cell>
          <cell r="X313">
            <v>142680</v>
          </cell>
          <cell r="Y313">
            <v>161686</v>
          </cell>
          <cell r="Z313">
            <v>127688</v>
          </cell>
          <cell r="AA313">
            <v>110332</v>
          </cell>
          <cell r="AB313">
            <v>144447</v>
          </cell>
          <cell r="AC313">
            <v>79956</v>
          </cell>
          <cell r="AD313">
            <v>70298</v>
          </cell>
          <cell r="AE313">
            <v>69475</v>
          </cell>
          <cell r="AF313">
            <v>75250</v>
          </cell>
          <cell r="AG313">
            <v>25641</v>
          </cell>
          <cell r="AH313">
            <v>31736</v>
          </cell>
          <cell r="AI313">
            <v>38626</v>
          </cell>
          <cell r="AJ313">
            <v>35002</v>
          </cell>
          <cell r="AK313">
            <v>45220</v>
          </cell>
          <cell r="AL313">
            <v>40951</v>
          </cell>
          <cell r="AM313">
            <v>37940</v>
          </cell>
          <cell r="AN313">
            <v>22135</v>
          </cell>
          <cell r="AO313">
            <v>17430</v>
          </cell>
          <cell r="AP313">
            <v>20001</v>
          </cell>
          <cell r="AQ313">
            <v>15211</v>
          </cell>
          <cell r="AR313">
            <v>3264</v>
          </cell>
          <cell r="AS313">
            <v>1389</v>
          </cell>
          <cell r="AT313">
            <v>1818</v>
          </cell>
          <cell r="AU313">
            <v>10962</v>
          </cell>
          <cell r="DN313">
            <v>4123716</v>
          </cell>
          <cell r="DO313">
            <v>313</v>
          </cell>
        </row>
        <row r="314">
          <cell r="A314" t="str">
            <v>San Jose-Sunnyvale-Santa Clara, CA Metro Area</v>
          </cell>
          <cell r="B314">
            <v>33414</v>
          </cell>
          <cell r="C314">
            <v>66610</v>
          </cell>
          <cell r="D314">
            <v>136979</v>
          </cell>
          <cell r="E314">
            <v>155469</v>
          </cell>
          <cell r="F314">
            <v>221290</v>
          </cell>
          <cell r="G314">
            <v>208084</v>
          </cell>
          <cell r="H314">
            <v>172145</v>
          </cell>
          <cell r="I314">
            <v>189896</v>
          </cell>
          <cell r="J314">
            <v>130109</v>
          </cell>
          <cell r="K314">
            <v>87418</v>
          </cell>
          <cell r="L314">
            <v>32150</v>
          </cell>
          <cell r="M314">
            <v>31904</v>
          </cell>
          <cell r="N314">
            <v>32843</v>
          </cell>
          <cell r="O314">
            <v>25194</v>
          </cell>
          <cell r="P314">
            <v>22070</v>
          </cell>
          <cell r="Q314">
            <v>17444</v>
          </cell>
          <cell r="R314">
            <v>22467</v>
          </cell>
          <cell r="S314">
            <v>1249</v>
          </cell>
          <cell r="T314">
            <v>11383</v>
          </cell>
          <cell r="U314">
            <v>12085</v>
          </cell>
          <cell r="V314">
            <v>8919</v>
          </cell>
          <cell r="W314">
            <v>6272</v>
          </cell>
          <cell r="Y314">
            <v>7864</v>
          </cell>
          <cell r="Z314">
            <v>4322</v>
          </cell>
          <cell r="AB314">
            <v>6338</v>
          </cell>
          <cell r="AC314">
            <v>11261</v>
          </cell>
          <cell r="AD314">
            <v>20731</v>
          </cell>
          <cell r="AE314">
            <v>6870</v>
          </cell>
          <cell r="AN314">
            <v>5464</v>
          </cell>
          <cell r="AP314">
            <v>5128</v>
          </cell>
          <cell r="AR314">
            <v>7753</v>
          </cell>
          <cell r="AS314">
            <v>16743</v>
          </cell>
          <cell r="AT314">
            <v>12722</v>
          </cell>
          <cell r="AV314">
            <v>2904</v>
          </cell>
          <cell r="BC314">
            <v>2500</v>
          </cell>
          <cell r="DN314">
            <v>1735994</v>
          </cell>
          <cell r="DO314">
            <v>314</v>
          </cell>
        </row>
        <row r="315">
          <cell r="A315" t="str">
            <v>San Luis Obispo-Paso Robles, CA Metro Area</v>
          </cell>
          <cell r="B315">
            <v>16433</v>
          </cell>
          <cell r="C315">
            <v>20860</v>
          </cell>
          <cell r="D315">
            <v>11567</v>
          </cell>
          <cell r="E315">
            <v>6934</v>
          </cell>
          <cell r="G315">
            <v>3916</v>
          </cell>
          <cell r="J315">
            <v>3826</v>
          </cell>
          <cell r="K315">
            <v>8238</v>
          </cell>
          <cell r="L315">
            <v>10786</v>
          </cell>
          <cell r="M315">
            <v>29755</v>
          </cell>
          <cell r="N315">
            <v>29110</v>
          </cell>
          <cell r="O315">
            <v>12861</v>
          </cell>
          <cell r="P315">
            <v>5028</v>
          </cell>
          <cell r="Q315">
            <v>4147</v>
          </cell>
          <cell r="R315">
            <v>9259</v>
          </cell>
          <cell r="S315">
            <v>12273</v>
          </cell>
          <cell r="T315">
            <v>2358</v>
          </cell>
          <cell r="U315">
            <v>7100</v>
          </cell>
          <cell r="V315">
            <v>5561</v>
          </cell>
          <cell r="X315">
            <v>8187</v>
          </cell>
          <cell r="Y315">
            <v>4060</v>
          </cell>
          <cell r="Z315">
            <v>13464</v>
          </cell>
          <cell r="AA315">
            <v>7944</v>
          </cell>
          <cell r="AE315">
            <v>4006</v>
          </cell>
          <cell r="AF315">
            <v>3860</v>
          </cell>
          <cell r="AG315">
            <v>2386</v>
          </cell>
          <cell r="AI315">
            <v>2827</v>
          </cell>
          <cell r="DN315">
            <v>246746</v>
          </cell>
          <cell r="DO315">
            <v>315</v>
          </cell>
        </row>
        <row r="316">
          <cell r="A316" t="str">
            <v>Santa Barbara-Santa Maria-Goleta, CA Metro Area</v>
          </cell>
          <cell r="B316">
            <v>23571</v>
          </cell>
          <cell r="C316">
            <v>43162</v>
          </cell>
          <cell r="D316">
            <v>24330</v>
          </cell>
          <cell r="E316">
            <v>9041</v>
          </cell>
          <cell r="F316">
            <v>12627</v>
          </cell>
          <cell r="G316">
            <v>12903</v>
          </cell>
          <cell r="H316">
            <v>3138</v>
          </cell>
          <cell r="I316">
            <v>12777</v>
          </cell>
          <cell r="J316">
            <v>8922</v>
          </cell>
          <cell r="K316">
            <v>20844</v>
          </cell>
          <cell r="L316">
            <v>25027</v>
          </cell>
          <cell r="M316">
            <v>3121</v>
          </cell>
          <cell r="O316">
            <v>2617</v>
          </cell>
          <cell r="Z316">
            <v>6354</v>
          </cell>
          <cell r="AC316">
            <v>3338</v>
          </cell>
          <cell r="AD316">
            <v>5864</v>
          </cell>
          <cell r="AF316">
            <v>4</v>
          </cell>
          <cell r="AI316">
            <v>7600</v>
          </cell>
          <cell r="AT316">
            <v>3233</v>
          </cell>
          <cell r="AU316">
            <v>16813</v>
          </cell>
          <cell r="AV316">
            <v>20942</v>
          </cell>
          <cell r="AW316">
            <v>1905</v>
          </cell>
          <cell r="AX316">
            <v>5815</v>
          </cell>
          <cell r="AY316">
            <v>5713</v>
          </cell>
          <cell r="BA316">
            <v>9342</v>
          </cell>
          <cell r="BB316">
            <v>19287</v>
          </cell>
          <cell r="BC316">
            <v>8517</v>
          </cell>
          <cell r="BD316">
            <v>12760</v>
          </cell>
          <cell r="BE316">
            <v>26402</v>
          </cell>
          <cell r="BF316">
            <v>25263</v>
          </cell>
          <cell r="BG316">
            <v>11999</v>
          </cell>
          <cell r="BL316">
            <v>6059</v>
          </cell>
          <cell r="DN316">
            <v>399290</v>
          </cell>
          <cell r="DO316">
            <v>316</v>
          </cell>
        </row>
        <row r="317">
          <cell r="A317" t="str">
            <v>Santa Cruz-Watsonville, CA Metro Area</v>
          </cell>
          <cell r="B317">
            <v>22638</v>
          </cell>
          <cell r="C317">
            <v>24624</v>
          </cell>
          <cell r="D317">
            <v>22808</v>
          </cell>
          <cell r="E317">
            <v>24187</v>
          </cell>
          <cell r="F317">
            <v>18136</v>
          </cell>
          <cell r="G317">
            <v>19442</v>
          </cell>
          <cell r="H317">
            <v>3223</v>
          </cell>
          <cell r="I317">
            <v>7972</v>
          </cell>
          <cell r="J317">
            <v>20794</v>
          </cell>
          <cell r="K317">
            <v>4184</v>
          </cell>
          <cell r="L317">
            <v>3543</v>
          </cell>
          <cell r="M317">
            <v>4030</v>
          </cell>
          <cell r="N317">
            <v>13008</v>
          </cell>
          <cell r="O317">
            <v>12110</v>
          </cell>
          <cell r="P317">
            <v>26263</v>
          </cell>
          <cell r="Q317">
            <v>21249</v>
          </cell>
          <cell r="R317">
            <v>5863</v>
          </cell>
          <cell r="S317">
            <v>1545</v>
          </cell>
          <cell r="DN317">
            <v>255619</v>
          </cell>
          <cell r="DO317">
            <v>317</v>
          </cell>
        </row>
        <row r="318">
          <cell r="A318" t="str">
            <v>Santa Fe, NM Metro Area</v>
          </cell>
          <cell r="B318">
            <v>11777</v>
          </cell>
          <cell r="C318">
            <v>12530</v>
          </cell>
          <cell r="D318">
            <v>12481</v>
          </cell>
          <cell r="E318">
            <v>11100</v>
          </cell>
          <cell r="F318">
            <v>10591</v>
          </cell>
          <cell r="G318">
            <v>10095</v>
          </cell>
          <cell r="H318">
            <v>4423</v>
          </cell>
          <cell r="I318">
            <v>12007</v>
          </cell>
          <cell r="J318">
            <v>2287</v>
          </cell>
          <cell r="K318">
            <v>7880</v>
          </cell>
          <cell r="L318">
            <v>4751</v>
          </cell>
          <cell r="M318">
            <v>906</v>
          </cell>
          <cell r="N318">
            <v>2257</v>
          </cell>
          <cell r="P318">
            <v>6488</v>
          </cell>
          <cell r="R318">
            <v>1529</v>
          </cell>
          <cell r="S318">
            <v>1617</v>
          </cell>
          <cell r="V318">
            <v>4855</v>
          </cell>
          <cell r="X318">
            <v>2608</v>
          </cell>
          <cell r="AO318">
            <v>1216</v>
          </cell>
          <cell r="AQ318">
            <v>3395</v>
          </cell>
          <cell r="AU318">
            <v>4508</v>
          </cell>
          <cell r="DN318">
            <v>129301</v>
          </cell>
          <cell r="DO318">
            <v>318</v>
          </cell>
        </row>
        <row r="319">
          <cell r="A319" t="str">
            <v>Santa Rosa-Petaluma, CA Metro Area</v>
          </cell>
          <cell r="B319">
            <v>13374</v>
          </cell>
          <cell r="C319">
            <v>47597</v>
          </cell>
          <cell r="D319">
            <v>68540</v>
          </cell>
          <cell r="E319">
            <v>32424</v>
          </cell>
          <cell r="F319">
            <v>11594</v>
          </cell>
          <cell r="G319">
            <v>24987</v>
          </cell>
          <cell r="H319">
            <v>24663</v>
          </cell>
          <cell r="I319">
            <v>45145</v>
          </cell>
          <cell r="K319">
            <v>30273</v>
          </cell>
          <cell r="L319">
            <v>14154</v>
          </cell>
          <cell r="N319">
            <v>17702</v>
          </cell>
          <cell r="O319">
            <v>14383</v>
          </cell>
          <cell r="P319">
            <v>48224</v>
          </cell>
          <cell r="Q319">
            <v>22411</v>
          </cell>
          <cell r="R319">
            <v>16344</v>
          </cell>
          <cell r="S319">
            <v>7087</v>
          </cell>
          <cell r="U319">
            <v>2700</v>
          </cell>
          <cell r="V319">
            <v>4424</v>
          </cell>
          <cell r="Y319">
            <v>2594</v>
          </cell>
          <cell r="AE319">
            <v>4088</v>
          </cell>
          <cell r="AF319">
            <v>4253</v>
          </cell>
          <cell r="AQ319">
            <v>1625</v>
          </cell>
          <cell r="DN319">
            <v>458586</v>
          </cell>
          <cell r="DO319">
            <v>319</v>
          </cell>
        </row>
        <row r="320">
          <cell r="A320" t="str">
            <v>Savannah, GA Metro Area</v>
          </cell>
          <cell r="B320">
            <v>6447</v>
          </cell>
          <cell r="C320">
            <v>25706</v>
          </cell>
          <cell r="D320">
            <v>25165</v>
          </cell>
          <cell r="E320">
            <v>25118</v>
          </cell>
          <cell r="F320">
            <v>25593</v>
          </cell>
          <cell r="G320">
            <v>13278</v>
          </cell>
          <cell r="H320">
            <v>21788</v>
          </cell>
          <cell r="I320">
            <v>12426</v>
          </cell>
          <cell r="J320">
            <v>31346</v>
          </cell>
          <cell r="K320">
            <v>21755</v>
          </cell>
          <cell r="L320">
            <v>11495</v>
          </cell>
          <cell r="M320">
            <v>6023</v>
          </cell>
          <cell r="N320">
            <v>2545</v>
          </cell>
          <cell r="P320">
            <v>11214</v>
          </cell>
          <cell r="Q320">
            <v>7210</v>
          </cell>
          <cell r="R320">
            <v>8596</v>
          </cell>
          <cell r="T320">
            <v>9996</v>
          </cell>
          <cell r="U320">
            <v>1587</v>
          </cell>
          <cell r="V320">
            <v>1990</v>
          </cell>
          <cell r="W320">
            <v>5106</v>
          </cell>
          <cell r="Y320">
            <v>4144</v>
          </cell>
          <cell r="Z320">
            <v>3781</v>
          </cell>
          <cell r="AA320">
            <v>3307</v>
          </cell>
          <cell r="AE320">
            <v>4771</v>
          </cell>
          <cell r="AG320">
            <v>2930</v>
          </cell>
          <cell r="DN320">
            <v>293317</v>
          </cell>
          <cell r="DO320">
            <v>320</v>
          </cell>
        </row>
        <row r="321">
          <cell r="A321" t="str">
            <v>Scranton--Wilkes-Barre, PA Metro Area</v>
          </cell>
          <cell r="B321">
            <v>22206</v>
          </cell>
          <cell r="C321">
            <v>45128</v>
          </cell>
          <cell r="D321">
            <v>30539</v>
          </cell>
          <cell r="E321">
            <v>6568</v>
          </cell>
          <cell r="F321">
            <v>17724</v>
          </cell>
          <cell r="G321">
            <v>11850</v>
          </cell>
          <cell r="H321">
            <v>31069</v>
          </cell>
          <cell r="I321">
            <v>13885</v>
          </cell>
          <cell r="J321">
            <v>21042</v>
          </cell>
          <cell r="K321">
            <v>17765</v>
          </cell>
          <cell r="L321">
            <v>23885</v>
          </cell>
          <cell r="M321">
            <v>8947</v>
          </cell>
          <cell r="N321">
            <v>8046</v>
          </cell>
          <cell r="O321">
            <v>19804</v>
          </cell>
          <cell r="P321">
            <v>30028</v>
          </cell>
          <cell r="Q321">
            <v>33843</v>
          </cell>
          <cell r="R321">
            <v>34616</v>
          </cell>
          <cell r="S321">
            <v>25691</v>
          </cell>
          <cell r="T321">
            <v>12840</v>
          </cell>
          <cell r="U321">
            <v>11355</v>
          </cell>
          <cell r="V321">
            <v>12860</v>
          </cell>
          <cell r="W321">
            <v>6213</v>
          </cell>
          <cell r="X321">
            <v>8123</v>
          </cell>
          <cell r="Y321">
            <v>15448</v>
          </cell>
          <cell r="AA321">
            <v>5109</v>
          </cell>
          <cell r="AB321">
            <v>6421</v>
          </cell>
          <cell r="AC321">
            <v>5826</v>
          </cell>
          <cell r="AD321">
            <v>3215</v>
          </cell>
          <cell r="AE321">
            <v>5718</v>
          </cell>
          <cell r="AF321">
            <v>7193</v>
          </cell>
          <cell r="AG321">
            <v>1523</v>
          </cell>
          <cell r="AI321">
            <v>7668</v>
          </cell>
          <cell r="AJ321">
            <v>15543</v>
          </cell>
          <cell r="AK321">
            <v>25402</v>
          </cell>
          <cell r="AL321">
            <v>3880</v>
          </cell>
          <cell r="AM321">
            <v>1684</v>
          </cell>
          <cell r="AP321">
            <v>2133</v>
          </cell>
          <cell r="DN321">
            <v>560790</v>
          </cell>
          <cell r="DO321">
            <v>321</v>
          </cell>
        </row>
        <row r="322">
          <cell r="A322" t="str">
            <v>Seattle-Tacoma-Bellevue, WA Metro Area</v>
          </cell>
          <cell r="B322">
            <v>29523</v>
          </cell>
          <cell r="C322">
            <v>62207</v>
          </cell>
          <cell r="D322">
            <v>61681</v>
          </cell>
          <cell r="E322">
            <v>70078</v>
          </cell>
          <cell r="F322">
            <v>111820</v>
          </cell>
          <cell r="G322">
            <v>115319</v>
          </cell>
          <cell r="H322">
            <v>108854</v>
          </cell>
          <cell r="I322">
            <v>79429</v>
          </cell>
          <cell r="J322">
            <v>134020</v>
          </cell>
          <cell r="K322">
            <v>116036</v>
          </cell>
          <cell r="L322">
            <v>111474</v>
          </cell>
          <cell r="M322">
            <v>90795</v>
          </cell>
          <cell r="N322">
            <v>105414</v>
          </cell>
          <cell r="O322">
            <v>94109</v>
          </cell>
          <cell r="P322">
            <v>94902</v>
          </cell>
          <cell r="Q322">
            <v>109825</v>
          </cell>
          <cell r="R322">
            <v>81902</v>
          </cell>
          <cell r="S322">
            <v>36852</v>
          </cell>
          <cell r="T322">
            <v>77461</v>
          </cell>
          <cell r="U322">
            <v>86641</v>
          </cell>
          <cell r="V322">
            <v>114808</v>
          </cell>
          <cell r="W322">
            <v>74499</v>
          </cell>
          <cell r="X322">
            <v>75960</v>
          </cell>
          <cell r="Y322">
            <v>62943</v>
          </cell>
          <cell r="Z322">
            <v>87805</v>
          </cell>
          <cell r="AA322">
            <v>64985</v>
          </cell>
          <cell r="AB322">
            <v>34873</v>
          </cell>
          <cell r="AC322">
            <v>97385</v>
          </cell>
          <cell r="AD322">
            <v>93314</v>
          </cell>
          <cell r="AE322">
            <v>56746</v>
          </cell>
          <cell r="AF322">
            <v>74478</v>
          </cell>
          <cell r="AG322">
            <v>44875</v>
          </cell>
          <cell r="AH322">
            <v>96285</v>
          </cell>
          <cell r="AI322">
            <v>65196</v>
          </cell>
          <cell r="AJ322">
            <v>43862</v>
          </cell>
          <cell r="AK322">
            <v>33273</v>
          </cell>
          <cell r="AL322">
            <v>20824</v>
          </cell>
          <cell r="AM322">
            <v>32699</v>
          </cell>
          <cell r="AN322">
            <v>8737</v>
          </cell>
          <cell r="AO322">
            <v>29032</v>
          </cell>
          <cell r="AP322">
            <v>2017</v>
          </cell>
          <cell r="AQ322">
            <v>4848</v>
          </cell>
          <cell r="AR322">
            <v>2787</v>
          </cell>
          <cell r="AS322">
            <v>13040</v>
          </cell>
          <cell r="AT322">
            <v>14716</v>
          </cell>
          <cell r="AU322">
            <v>4730</v>
          </cell>
          <cell r="AW322">
            <v>2916</v>
          </cell>
          <cell r="BA322">
            <v>5163</v>
          </cell>
          <cell r="BE322">
            <v>2804</v>
          </cell>
          <cell r="DN322">
            <v>3043942</v>
          </cell>
          <cell r="DO322">
            <v>322</v>
          </cell>
        </row>
        <row r="323">
          <cell r="A323" t="str">
            <v>Sebastian-Vero Beach, FL Metro Area</v>
          </cell>
          <cell r="B323">
            <v>3799</v>
          </cell>
          <cell r="C323">
            <v>3888</v>
          </cell>
          <cell r="D323">
            <v>3391</v>
          </cell>
          <cell r="E323">
            <v>9755</v>
          </cell>
          <cell r="H323">
            <v>3109</v>
          </cell>
          <cell r="I323">
            <v>7066</v>
          </cell>
          <cell r="J323">
            <v>5147</v>
          </cell>
          <cell r="L323">
            <v>7625</v>
          </cell>
          <cell r="M323">
            <v>3414</v>
          </cell>
          <cell r="N323">
            <v>7921</v>
          </cell>
          <cell r="O323">
            <v>21583</v>
          </cell>
          <cell r="P323">
            <v>9253</v>
          </cell>
          <cell r="Q323">
            <v>10331</v>
          </cell>
          <cell r="R323">
            <v>1821</v>
          </cell>
          <cell r="S323">
            <v>12701</v>
          </cell>
          <cell r="T323">
            <v>2075</v>
          </cell>
          <cell r="DN323">
            <v>112879</v>
          </cell>
          <cell r="DO323">
            <v>323</v>
          </cell>
        </row>
        <row r="324">
          <cell r="A324" t="str">
            <v>Sheboygan, WI Metro Area</v>
          </cell>
          <cell r="B324">
            <v>15917</v>
          </cell>
          <cell r="C324">
            <v>25105</v>
          </cell>
          <cell r="D324">
            <v>11428</v>
          </cell>
          <cell r="E324">
            <v>6603</v>
          </cell>
          <cell r="F324">
            <v>2766</v>
          </cell>
          <cell r="G324">
            <v>5346</v>
          </cell>
          <cell r="H324">
            <v>3153</v>
          </cell>
          <cell r="J324">
            <v>5637</v>
          </cell>
          <cell r="K324">
            <v>3078</v>
          </cell>
          <cell r="M324">
            <v>6765</v>
          </cell>
          <cell r="N324">
            <v>3024</v>
          </cell>
          <cell r="O324">
            <v>7649</v>
          </cell>
          <cell r="P324">
            <v>2628</v>
          </cell>
          <cell r="Q324">
            <v>3254</v>
          </cell>
          <cell r="S324">
            <v>3584</v>
          </cell>
          <cell r="T324">
            <v>3611</v>
          </cell>
          <cell r="V324">
            <v>3117</v>
          </cell>
          <cell r="DN324">
            <v>112665</v>
          </cell>
          <cell r="DO324">
            <v>324</v>
          </cell>
        </row>
        <row r="325">
          <cell r="A325" t="str">
            <v>Sherman-Denison, TX Metro Area</v>
          </cell>
          <cell r="B325">
            <v>2902</v>
          </cell>
          <cell r="C325">
            <v>25071</v>
          </cell>
          <cell r="D325">
            <v>5946</v>
          </cell>
          <cell r="E325">
            <v>3815</v>
          </cell>
          <cell r="G325">
            <v>3311</v>
          </cell>
          <cell r="I325">
            <v>18348</v>
          </cell>
          <cell r="J325">
            <v>1380</v>
          </cell>
          <cell r="K325">
            <v>17023</v>
          </cell>
          <cell r="M325">
            <v>3047</v>
          </cell>
          <cell r="N325">
            <v>7592</v>
          </cell>
          <cell r="O325">
            <v>3968</v>
          </cell>
          <cell r="P325">
            <v>8682</v>
          </cell>
          <cell r="R325">
            <v>6404</v>
          </cell>
          <cell r="S325">
            <v>3085</v>
          </cell>
          <cell r="DN325">
            <v>110574</v>
          </cell>
          <cell r="DO325">
            <v>325</v>
          </cell>
        </row>
        <row r="326">
          <cell r="A326" t="str">
            <v>Shreveport-Bossier City, LA Metro Area</v>
          </cell>
          <cell r="B326">
            <v>1830</v>
          </cell>
          <cell r="C326">
            <v>21024</v>
          </cell>
          <cell r="D326">
            <v>42745</v>
          </cell>
          <cell r="E326">
            <v>32310</v>
          </cell>
          <cell r="F326">
            <v>41038</v>
          </cell>
          <cell r="G326">
            <v>40093</v>
          </cell>
          <cell r="H326">
            <v>14844</v>
          </cell>
          <cell r="I326">
            <v>29379</v>
          </cell>
          <cell r="J326">
            <v>37429</v>
          </cell>
          <cell r="K326">
            <v>9801</v>
          </cell>
          <cell r="L326">
            <v>19281</v>
          </cell>
          <cell r="M326">
            <v>9731</v>
          </cell>
          <cell r="N326">
            <v>12684</v>
          </cell>
          <cell r="O326">
            <v>11317</v>
          </cell>
          <cell r="P326">
            <v>5860</v>
          </cell>
          <cell r="S326">
            <v>6937</v>
          </cell>
          <cell r="U326">
            <v>5057</v>
          </cell>
          <cell r="Y326">
            <v>6127</v>
          </cell>
          <cell r="Z326">
            <v>3512</v>
          </cell>
          <cell r="AD326">
            <v>6482</v>
          </cell>
          <cell r="AG326">
            <v>2324</v>
          </cell>
          <cell r="AH326">
            <v>3222</v>
          </cell>
          <cell r="AI326">
            <v>3394</v>
          </cell>
          <cell r="AJ326">
            <v>6765</v>
          </cell>
          <cell r="AQ326">
            <v>2795</v>
          </cell>
          <cell r="DN326">
            <v>375981</v>
          </cell>
          <cell r="DO326">
            <v>326</v>
          </cell>
        </row>
        <row r="327">
          <cell r="A327" t="str">
            <v>Sioux City, IA-NE-SD Metro Area</v>
          </cell>
          <cell r="B327">
            <v>8579</v>
          </cell>
          <cell r="C327">
            <v>25859</v>
          </cell>
          <cell r="D327">
            <v>40349</v>
          </cell>
          <cell r="E327">
            <v>16322</v>
          </cell>
          <cell r="F327">
            <v>10889</v>
          </cell>
          <cell r="H327">
            <v>11331</v>
          </cell>
          <cell r="N327">
            <v>3487</v>
          </cell>
          <cell r="P327">
            <v>4600</v>
          </cell>
          <cell r="U327">
            <v>6725</v>
          </cell>
          <cell r="V327">
            <v>2713</v>
          </cell>
          <cell r="AA327">
            <v>3564</v>
          </cell>
          <cell r="AG327">
            <v>4264</v>
          </cell>
          <cell r="AO327">
            <v>4318</v>
          </cell>
          <cell r="DN327">
            <v>143000</v>
          </cell>
          <cell r="DO327">
            <v>327</v>
          </cell>
        </row>
        <row r="328">
          <cell r="A328" t="str">
            <v>Sioux Falls, SD Metro Area</v>
          </cell>
          <cell r="B328">
            <v>15097</v>
          </cell>
          <cell r="C328">
            <v>35019</v>
          </cell>
          <cell r="D328">
            <v>22567</v>
          </cell>
          <cell r="E328">
            <v>32464</v>
          </cell>
          <cell r="F328">
            <v>15319</v>
          </cell>
          <cell r="G328">
            <v>7438</v>
          </cell>
          <cell r="H328">
            <v>4717</v>
          </cell>
          <cell r="I328">
            <v>3528</v>
          </cell>
          <cell r="J328">
            <v>7000</v>
          </cell>
          <cell r="K328">
            <v>1901</v>
          </cell>
          <cell r="L328">
            <v>2365</v>
          </cell>
          <cell r="N328">
            <v>4686</v>
          </cell>
          <cell r="P328">
            <v>7985</v>
          </cell>
          <cell r="S328">
            <v>2744</v>
          </cell>
          <cell r="T328">
            <v>3577</v>
          </cell>
          <cell r="U328">
            <v>3362</v>
          </cell>
          <cell r="Y328">
            <v>4368</v>
          </cell>
          <cell r="AC328">
            <v>2712</v>
          </cell>
          <cell r="AF328">
            <v>6997</v>
          </cell>
          <cell r="AI328">
            <v>3305</v>
          </cell>
          <cell r="DN328">
            <v>187151</v>
          </cell>
          <cell r="DO328">
            <v>328</v>
          </cell>
        </row>
        <row r="329">
          <cell r="A329" t="str">
            <v>South Bend-Mishawaka, IN-MI Metro Area</v>
          </cell>
          <cell r="B329">
            <v>10806</v>
          </cell>
          <cell r="C329">
            <v>49046</v>
          </cell>
          <cell r="D329">
            <v>44616</v>
          </cell>
          <cell r="E329">
            <v>30883</v>
          </cell>
          <cell r="F329">
            <v>43919</v>
          </cell>
          <cell r="G329">
            <v>17552</v>
          </cell>
          <cell r="H329">
            <v>27716</v>
          </cell>
          <cell r="I329">
            <v>4023</v>
          </cell>
          <cell r="J329">
            <v>18867</v>
          </cell>
          <cell r="L329">
            <v>12746</v>
          </cell>
          <cell r="M329">
            <v>5661</v>
          </cell>
          <cell r="N329">
            <v>3838</v>
          </cell>
          <cell r="O329">
            <v>3019</v>
          </cell>
          <cell r="P329">
            <v>3020</v>
          </cell>
          <cell r="S329">
            <v>8675</v>
          </cell>
          <cell r="T329">
            <v>3078</v>
          </cell>
          <cell r="U329">
            <v>5774</v>
          </cell>
          <cell r="X329">
            <v>3935</v>
          </cell>
          <cell r="Y329">
            <v>3822</v>
          </cell>
          <cell r="Z329">
            <v>10093</v>
          </cell>
          <cell r="AF329">
            <v>5581</v>
          </cell>
          <cell r="DN329">
            <v>316670</v>
          </cell>
          <cell r="DO329">
            <v>329</v>
          </cell>
        </row>
        <row r="330">
          <cell r="A330" t="str">
            <v>Spartanburg, SC Metro Area</v>
          </cell>
          <cell r="B330">
            <v>6499</v>
          </cell>
          <cell r="C330">
            <v>23025</v>
          </cell>
          <cell r="D330">
            <v>21725</v>
          </cell>
          <cell r="E330">
            <v>16574</v>
          </cell>
          <cell r="F330">
            <v>24753</v>
          </cell>
          <cell r="G330">
            <v>14801</v>
          </cell>
          <cell r="H330">
            <v>11595</v>
          </cell>
          <cell r="I330">
            <v>7300</v>
          </cell>
          <cell r="J330">
            <v>13870</v>
          </cell>
          <cell r="K330">
            <v>19394</v>
          </cell>
          <cell r="L330">
            <v>14112</v>
          </cell>
          <cell r="M330">
            <v>13706</v>
          </cell>
          <cell r="N330">
            <v>5132</v>
          </cell>
          <cell r="O330">
            <v>17289</v>
          </cell>
          <cell r="P330">
            <v>7510</v>
          </cell>
          <cell r="Q330">
            <v>23377</v>
          </cell>
          <cell r="R330">
            <v>1854</v>
          </cell>
          <cell r="S330">
            <v>3789</v>
          </cell>
          <cell r="T330">
            <v>4254</v>
          </cell>
          <cell r="W330">
            <v>3383</v>
          </cell>
          <cell r="DN330">
            <v>253942</v>
          </cell>
          <cell r="DO330">
            <v>330</v>
          </cell>
        </row>
        <row r="331">
          <cell r="A331" t="str">
            <v>Spokane, WA Metro Area</v>
          </cell>
          <cell r="B331">
            <v>7860</v>
          </cell>
          <cell r="C331">
            <v>43950</v>
          </cell>
          <cell r="D331">
            <v>53025</v>
          </cell>
          <cell r="E331">
            <v>52796</v>
          </cell>
          <cell r="F331">
            <v>42405</v>
          </cell>
          <cell r="G331">
            <v>19914</v>
          </cell>
          <cell r="H331">
            <v>26554</v>
          </cell>
          <cell r="I331">
            <v>29205</v>
          </cell>
          <cell r="J331">
            <v>15940</v>
          </cell>
          <cell r="K331">
            <v>23356</v>
          </cell>
          <cell r="L331">
            <v>19359</v>
          </cell>
          <cell r="M331">
            <v>19461</v>
          </cell>
          <cell r="N331">
            <v>8485</v>
          </cell>
          <cell r="O331">
            <v>18024</v>
          </cell>
          <cell r="Q331">
            <v>23001</v>
          </cell>
          <cell r="V331">
            <v>6345</v>
          </cell>
          <cell r="W331">
            <v>3483</v>
          </cell>
          <cell r="X331">
            <v>4801</v>
          </cell>
          <cell r="DN331">
            <v>417964</v>
          </cell>
          <cell r="DO331">
            <v>331</v>
          </cell>
        </row>
        <row r="332">
          <cell r="A332" t="str">
            <v>Springfield, IL Metro Area</v>
          </cell>
          <cell r="B332">
            <v>11465</v>
          </cell>
          <cell r="C332">
            <v>39314</v>
          </cell>
          <cell r="D332">
            <v>31665</v>
          </cell>
          <cell r="E332">
            <v>24781</v>
          </cell>
          <cell r="F332">
            <v>14682</v>
          </cell>
          <cell r="G332">
            <v>11064</v>
          </cell>
          <cell r="H332">
            <v>15865</v>
          </cell>
          <cell r="I332">
            <v>9635</v>
          </cell>
          <cell r="J332">
            <v>2524</v>
          </cell>
          <cell r="K332">
            <v>8024</v>
          </cell>
          <cell r="O332">
            <v>4876</v>
          </cell>
          <cell r="P332">
            <v>14842</v>
          </cell>
          <cell r="R332">
            <v>5979</v>
          </cell>
          <cell r="S332">
            <v>4022</v>
          </cell>
          <cell r="T332">
            <v>2719</v>
          </cell>
          <cell r="DN332">
            <v>201457</v>
          </cell>
          <cell r="DO332">
            <v>332</v>
          </cell>
        </row>
        <row r="333">
          <cell r="A333" t="str">
            <v>Springfield, MA Metro Area</v>
          </cell>
          <cell r="B333">
            <v>19171</v>
          </cell>
          <cell r="C333">
            <v>62753</v>
          </cell>
          <cell r="D333">
            <v>39999</v>
          </cell>
          <cell r="E333">
            <v>67339</v>
          </cell>
          <cell r="F333">
            <v>47762</v>
          </cell>
          <cell r="G333">
            <v>44051</v>
          </cell>
          <cell r="H333">
            <v>33217</v>
          </cell>
          <cell r="I333">
            <v>52122</v>
          </cell>
          <cell r="J333">
            <v>29072</v>
          </cell>
          <cell r="K333">
            <v>26912</v>
          </cell>
          <cell r="L333">
            <v>18061</v>
          </cell>
          <cell r="M333">
            <v>20302</v>
          </cell>
          <cell r="N333">
            <v>13540</v>
          </cell>
          <cell r="P333">
            <v>23150</v>
          </cell>
          <cell r="Q333">
            <v>20927</v>
          </cell>
          <cell r="R333">
            <v>19766</v>
          </cell>
          <cell r="S333">
            <v>12354</v>
          </cell>
          <cell r="T333">
            <v>4178</v>
          </cell>
          <cell r="U333">
            <v>20003</v>
          </cell>
          <cell r="V333">
            <v>15383</v>
          </cell>
          <cell r="W333">
            <v>10562</v>
          </cell>
          <cell r="X333">
            <v>3330</v>
          </cell>
          <cell r="Y333">
            <v>1201</v>
          </cell>
          <cell r="Z333">
            <v>5337</v>
          </cell>
          <cell r="AB333">
            <v>4423</v>
          </cell>
          <cell r="AC333">
            <v>4759</v>
          </cell>
          <cell r="AD333">
            <v>3375</v>
          </cell>
          <cell r="AE333">
            <v>3588</v>
          </cell>
          <cell r="AH333">
            <v>4261</v>
          </cell>
          <cell r="AI333">
            <v>7828</v>
          </cell>
          <cell r="AJ333">
            <v>11186</v>
          </cell>
          <cell r="AK333">
            <v>10636</v>
          </cell>
          <cell r="AL333">
            <v>4099</v>
          </cell>
          <cell r="AM333">
            <v>3430</v>
          </cell>
          <cell r="AO333">
            <v>4279</v>
          </cell>
          <cell r="AP333">
            <v>7714</v>
          </cell>
          <cell r="DN333">
            <v>680070</v>
          </cell>
          <cell r="DO333">
            <v>333</v>
          </cell>
        </row>
        <row r="334">
          <cell r="A334" t="str">
            <v>Springfield, MO Metro Area</v>
          </cell>
          <cell r="B334">
            <v>8658</v>
          </cell>
          <cell r="C334">
            <v>40795</v>
          </cell>
          <cell r="D334">
            <v>31722</v>
          </cell>
          <cell r="E334">
            <v>33154</v>
          </cell>
          <cell r="F334">
            <v>34691</v>
          </cell>
          <cell r="G334">
            <v>15080</v>
          </cell>
          <cell r="H334">
            <v>22670</v>
          </cell>
          <cell r="I334">
            <v>8245</v>
          </cell>
          <cell r="J334">
            <v>11575</v>
          </cell>
          <cell r="L334">
            <v>20446</v>
          </cell>
          <cell r="M334">
            <v>25407</v>
          </cell>
          <cell r="N334">
            <v>6311</v>
          </cell>
          <cell r="O334">
            <v>4259</v>
          </cell>
          <cell r="P334">
            <v>7126</v>
          </cell>
          <cell r="Q334">
            <v>6509</v>
          </cell>
          <cell r="R334">
            <v>3974</v>
          </cell>
          <cell r="S334">
            <v>6047</v>
          </cell>
          <cell r="T334">
            <v>5845</v>
          </cell>
          <cell r="U334">
            <v>4962</v>
          </cell>
          <cell r="W334">
            <v>19777</v>
          </cell>
          <cell r="Y334">
            <v>8104</v>
          </cell>
          <cell r="Z334">
            <v>7763</v>
          </cell>
          <cell r="AA334">
            <v>6178</v>
          </cell>
          <cell r="AD334">
            <v>4285</v>
          </cell>
          <cell r="AE334">
            <v>3520</v>
          </cell>
          <cell r="AG334">
            <v>11205</v>
          </cell>
          <cell r="AK334">
            <v>5619</v>
          </cell>
          <cell r="AQ334">
            <v>4526</v>
          </cell>
          <cell r="DN334">
            <v>368453</v>
          </cell>
          <cell r="DO334">
            <v>334</v>
          </cell>
        </row>
        <row r="335">
          <cell r="A335" t="str">
            <v>Springfield, OH Metro Area</v>
          </cell>
          <cell r="B335">
            <v>18911</v>
          </cell>
          <cell r="C335">
            <v>32344</v>
          </cell>
          <cell r="D335">
            <v>20270</v>
          </cell>
          <cell r="E335">
            <v>11613</v>
          </cell>
          <cell r="G335">
            <v>18127</v>
          </cell>
          <cell r="H335">
            <v>3038</v>
          </cell>
          <cell r="I335">
            <v>6324</v>
          </cell>
          <cell r="J335">
            <v>2585</v>
          </cell>
          <cell r="K335">
            <v>10863</v>
          </cell>
          <cell r="M335">
            <v>13417</v>
          </cell>
          <cell r="N335">
            <v>7249</v>
          </cell>
          <cell r="DN335">
            <v>144741</v>
          </cell>
          <cell r="DO335">
            <v>335</v>
          </cell>
        </row>
        <row r="336">
          <cell r="A336" t="str">
            <v>State College, PA Metro Area</v>
          </cell>
          <cell r="B336">
            <v>34428</v>
          </cell>
          <cell r="C336">
            <v>18572</v>
          </cell>
          <cell r="D336">
            <v>8812</v>
          </cell>
          <cell r="E336">
            <v>5396</v>
          </cell>
          <cell r="F336">
            <v>9779</v>
          </cell>
          <cell r="G336">
            <v>2000</v>
          </cell>
          <cell r="H336">
            <v>3219</v>
          </cell>
          <cell r="J336">
            <v>13636</v>
          </cell>
          <cell r="K336">
            <v>6412</v>
          </cell>
          <cell r="M336">
            <v>6541</v>
          </cell>
          <cell r="N336">
            <v>4093</v>
          </cell>
          <cell r="Q336">
            <v>4168</v>
          </cell>
          <cell r="T336">
            <v>2945</v>
          </cell>
          <cell r="U336">
            <v>3054</v>
          </cell>
          <cell r="V336">
            <v>7788</v>
          </cell>
          <cell r="X336">
            <v>4821</v>
          </cell>
          <cell r="DN336">
            <v>135664</v>
          </cell>
          <cell r="DO336">
            <v>336</v>
          </cell>
        </row>
        <row r="337">
          <cell r="A337" t="str">
            <v>Steubenville-Weirton, OH-WV Metro Area</v>
          </cell>
          <cell r="B337">
            <v>10253</v>
          </cell>
          <cell r="C337">
            <v>1596</v>
          </cell>
          <cell r="D337">
            <v>23712</v>
          </cell>
          <cell r="E337">
            <v>5968</v>
          </cell>
          <cell r="F337">
            <v>8396</v>
          </cell>
          <cell r="G337">
            <v>23673</v>
          </cell>
          <cell r="H337">
            <v>6920</v>
          </cell>
          <cell r="I337">
            <v>2319</v>
          </cell>
          <cell r="J337">
            <v>8588</v>
          </cell>
          <cell r="K337">
            <v>6983</v>
          </cell>
          <cell r="L337">
            <v>9133</v>
          </cell>
          <cell r="N337">
            <v>5651</v>
          </cell>
          <cell r="O337">
            <v>2289</v>
          </cell>
          <cell r="P337">
            <v>1927</v>
          </cell>
          <cell r="R337">
            <v>9621</v>
          </cell>
          <cell r="S337">
            <v>4951</v>
          </cell>
          <cell r="DN337">
            <v>131980</v>
          </cell>
          <cell r="DO337">
            <v>337</v>
          </cell>
        </row>
        <row r="338">
          <cell r="A338" t="str">
            <v>Stockton, CA Metro Area</v>
          </cell>
          <cell r="B338">
            <v>18476</v>
          </cell>
          <cell r="C338">
            <v>55049</v>
          </cell>
          <cell r="D338">
            <v>65697</v>
          </cell>
          <cell r="E338">
            <v>47648</v>
          </cell>
          <cell r="F338">
            <v>54563</v>
          </cell>
          <cell r="G338">
            <v>41824</v>
          </cell>
          <cell r="H338">
            <v>20911</v>
          </cell>
          <cell r="I338">
            <v>4927</v>
          </cell>
          <cell r="J338">
            <v>5378</v>
          </cell>
          <cell r="K338">
            <v>16503</v>
          </cell>
          <cell r="L338">
            <v>29158</v>
          </cell>
          <cell r="M338">
            <v>44385</v>
          </cell>
          <cell r="N338">
            <v>36216</v>
          </cell>
          <cell r="O338">
            <v>11371</v>
          </cell>
          <cell r="P338">
            <v>2961</v>
          </cell>
          <cell r="Q338">
            <v>12747</v>
          </cell>
          <cell r="R338">
            <v>24617</v>
          </cell>
          <cell r="S338">
            <v>31976</v>
          </cell>
          <cell r="T338">
            <v>22716</v>
          </cell>
          <cell r="U338">
            <v>15229</v>
          </cell>
          <cell r="V338">
            <v>1307</v>
          </cell>
          <cell r="DN338">
            <v>563659</v>
          </cell>
          <cell r="DO338">
            <v>338</v>
          </cell>
        </row>
        <row r="339">
          <cell r="A339" t="str">
            <v>Sumter, SC Metro Area</v>
          </cell>
          <cell r="B339">
            <v>6595</v>
          </cell>
          <cell r="C339">
            <v>20277</v>
          </cell>
          <cell r="D339">
            <v>13503</v>
          </cell>
          <cell r="E339">
            <v>6193</v>
          </cell>
          <cell r="F339">
            <v>3849</v>
          </cell>
          <cell r="G339">
            <v>4044</v>
          </cell>
          <cell r="H339">
            <v>18448</v>
          </cell>
          <cell r="I339">
            <v>5736</v>
          </cell>
          <cell r="J339">
            <v>11246</v>
          </cell>
          <cell r="K339">
            <v>3928</v>
          </cell>
          <cell r="M339">
            <v>4410</v>
          </cell>
          <cell r="Q339">
            <v>3757</v>
          </cell>
          <cell r="T339">
            <v>2699</v>
          </cell>
          <cell r="DN339">
            <v>104685</v>
          </cell>
          <cell r="DO339">
            <v>339</v>
          </cell>
        </row>
        <row r="340">
          <cell r="A340" t="str">
            <v>Syracuse, NY Metro Area</v>
          </cell>
          <cell r="B340">
            <v>23964</v>
          </cell>
          <cell r="C340">
            <v>68062</v>
          </cell>
          <cell r="D340">
            <v>52654</v>
          </cell>
          <cell r="E340">
            <v>54815</v>
          </cell>
          <cell r="F340">
            <v>31314</v>
          </cell>
          <cell r="G340">
            <v>29282</v>
          </cell>
          <cell r="H340">
            <v>33825</v>
          </cell>
          <cell r="I340">
            <v>32620</v>
          </cell>
          <cell r="J340">
            <v>19648</v>
          </cell>
          <cell r="K340">
            <v>42272</v>
          </cell>
          <cell r="L340">
            <v>8780</v>
          </cell>
          <cell r="M340">
            <v>15611</v>
          </cell>
          <cell r="N340">
            <v>19148</v>
          </cell>
          <cell r="O340">
            <v>14514</v>
          </cell>
          <cell r="P340">
            <v>11412</v>
          </cell>
          <cell r="Q340">
            <v>18871</v>
          </cell>
          <cell r="R340">
            <v>9781</v>
          </cell>
          <cell r="S340">
            <v>15203</v>
          </cell>
          <cell r="U340">
            <v>4966</v>
          </cell>
          <cell r="V340">
            <v>8653</v>
          </cell>
          <cell r="X340">
            <v>15987</v>
          </cell>
          <cell r="Y340">
            <v>13389</v>
          </cell>
          <cell r="Z340">
            <v>9471</v>
          </cell>
          <cell r="AA340">
            <v>7718</v>
          </cell>
          <cell r="AB340">
            <v>6760</v>
          </cell>
          <cell r="AC340">
            <v>14866</v>
          </cell>
          <cell r="AD340">
            <v>5178</v>
          </cell>
          <cell r="AE340">
            <v>1649</v>
          </cell>
          <cell r="AF340">
            <v>2935</v>
          </cell>
          <cell r="AG340">
            <v>7197</v>
          </cell>
          <cell r="AH340">
            <v>8134</v>
          </cell>
          <cell r="AI340">
            <v>17126</v>
          </cell>
          <cell r="AJ340">
            <v>7069</v>
          </cell>
          <cell r="AK340">
            <v>11008</v>
          </cell>
          <cell r="AP340">
            <v>3857</v>
          </cell>
          <cell r="AT340">
            <v>2403</v>
          </cell>
          <cell r="DN340">
            <v>650142</v>
          </cell>
          <cell r="DO340">
            <v>340</v>
          </cell>
        </row>
        <row r="341">
          <cell r="A341" t="str">
            <v>Tallahassee, FL Metro Area</v>
          </cell>
          <cell r="B341">
            <v>16912</v>
          </cell>
          <cell r="C341">
            <v>22465</v>
          </cell>
          <cell r="D341">
            <v>49536</v>
          </cell>
          <cell r="E341">
            <v>36723</v>
          </cell>
          <cell r="F341">
            <v>17683</v>
          </cell>
          <cell r="G341">
            <v>20532</v>
          </cell>
          <cell r="H341">
            <v>15168</v>
          </cell>
          <cell r="I341">
            <v>15037</v>
          </cell>
          <cell r="J341">
            <v>12272</v>
          </cell>
          <cell r="K341">
            <v>3409</v>
          </cell>
          <cell r="L341">
            <v>12290</v>
          </cell>
          <cell r="M341">
            <v>5938</v>
          </cell>
          <cell r="N341">
            <v>9875</v>
          </cell>
          <cell r="O341">
            <v>7622</v>
          </cell>
          <cell r="P341">
            <v>10582</v>
          </cell>
          <cell r="Q341">
            <v>4588</v>
          </cell>
          <cell r="R341">
            <v>4256</v>
          </cell>
          <cell r="U341">
            <v>15527</v>
          </cell>
          <cell r="V341">
            <v>5501</v>
          </cell>
          <cell r="W341">
            <v>4227</v>
          </cell>
          <cell r="Z341">
            <v>4571</v>
          </cell>
          <cell r="AA341">
            <v>10611</v>
          </cell>
          <cell r="AB341">
            <v>5288</v>
          </cell>
          <cell r="AD341">
            <v>4323</v>
          </cell>
          <cell r="AL341">
            <v>5323</v>
          </cell>
          <cell r="DN341">
            <v>320259</v>
          </cell>
          <cell r="DO341">
            <v>341</v>
          </cell>
        </row>
        <row r="342">
          <cell r="A342" t="str">
            <v>Tampa-St. Petersburg-Clearwater, FL Metro Area</v>
          </cell>
          <cell r="B342">
            <v>9869</v>
          </cell>
          <cell r="C342">
            <v>32825</v>
          </cell>
          <cell r="D342">
            <v>47115</v>
          </cell>
          <cell r="E342">
            <v>50441</v>
          </cell>
          <cell r="F342">
            <v>54620</v>
          </cell>
          <cell r="G342">
            <v>85296</v>
          </cell>
          <cell r="H342">
            <v>60468</v>
          </cell>
          <cell r="I342">
            <v>77799</v>
          </cell>
          <cell r="J342">
            <v>77265</v>
          </cell>
          <cell r="K342">
            <v>115744</v>
          </cell>
          <cell r="L342">
            <v>62899</v>
          </cell>
          <cell r="M342">
            <v>68261</v>
          </cell>
          <cell r="N342">
            <v>67798</v>
          </cell>
          <cell r="O342">
            <v>66508</v>
          </cell>
          <cell r="P342">
            <v>59485</v>
          </cell>
          <cell r="Q342">
            <v>92527</v>
          </cell>
          <cell r="R342">
            <v>124162</v>
          </cell>
          <cell r="S342">
            <v>143288</v>
          </cell>
          <cell r="T342">
            <v>143117</v>
          </cell>
          <cell r="U342">
            <v>152091</v>
          </cell>
          <cell r="V342">
            <v>151300</v>
          </cell>
          <cell r="W342">
            <v>90041</v>
          </cell>
          <cell r="X342">
            <v>99422</v>
          </cell>
          <cell r="Y342">
            <v>63046</v>
          </cell>
          <cell r="Z342">
            <v>63764</v>
          </cell>
          <cell r="AA342">
            <v>30749</v>
          </cell>
          <cell r="AB342">
            <v>37957</v>
          </cell>
          <cell r="AC342">
            <v>14619</v>
          </cell>
          <cell r="AD342">
            <v>31894</v>
          </cell>
          <cell r="AE342">
            <v>21030</v>
          </cell>
          <cell r="AF342">
            <v>19315</v>
          </cell>
          <cell r="AG342">
            <v>9938</v>
          </cell>
          <cell r="AH342">
            <v>21294</v>
          </cell>
          <cell r="AI342">
            <v>9348</v>
          </cell>
          <cell r="AJ342">
            <v>8381</v>
          </cell>
          <cell r="AK342">
            <v>19328</v>
          </cell>
          <cell r="AL342">
            <v>17306</v>
          </cell>
          <cell r="AM342">
            <v>20722</v>
          </cell>
          <cell r="AN342">
            <v>17233</v>
          </cell>
          <cell r="AO342">
            <v>12679</v>
          </cell>
          <cell r="AQ342">
            <v>12270</v>
          </cell>
          <cell r="AR342">
            <v>20053</v>
          </cell>
          <cell r="AS342">
            <v>6183</v>
          </cell>
          <cell r="AV342">
            <v>4301</v>
          </cell>
          <cell r="AW342">
            <v>2287</v>
          </cell>
          <cell r="DN342">
            <v>2396038</v>
          </cell>
          <cell r="DO342">
            <v>342</v>
          </cell>
        </row>
        <row r="343">
          <cell r="A343" t="str">
            <v>Terre Haute, IN Metro Area</v>
          </cell>
          <cell r="B343">
            <v>7301</v>
          </cell>
          <cell r="C343">
            <v>25680</v>
          </cell>
          <cell r="D343">
            <v>13503</v>
          </cell>
          <cell r="E343">
            <v>9872</v>
          </cell>
          <cell r="F343">
            <v>17793</v>
          </cell>
          <cell r="G343">
            <v>3351</v>
          </cell>
          <cell r="H343">
            <v>9562</v>
          </cell>
          <cell r="I343">
            <v>10305</v>
          </cell>
          <cell r="J343">
            <v>4884</v>
          </cell>
          <cell r="L343">
            <v>3608</v>
          </cell>
          <cell r="N343">
            <v>2145</v>
          </cell>
          <cell r="O343">
            <v>9452</v>
          </cell>
          <cell r="Q343">
            <v>8446</v>
          </cell>
          <cell r="R343">
            <v>6050</v>
          </cell>
          <cell r="T343">
            <v>13033</v>
          </cell>
          <cell r="V343">
            <v>3891</v>
          </cell>
          <cell r="Z343">
            <v>3062</v>
          </cell>
          <cell r="AA343">
            <v>8955</v>
          </cell>
          <cell r="AC343">
            <v>2238</v>
          </cell>
          <cell r="AI343">
            <v>4374</v>
          </cell>
          <cell r="AM343">
            <v>3448</v>
          </cell>
          <cell r="DN343">
            <v>170953</v>
          </cell>
          <cell r="DO343">
            <v>343</v>
          </cell>
        </row>
        <row r="344">
          <cell r="A344" t="str">
            <v>Texarkana, TX-Texarkana, AR Metro Area</v>
          </cell>
          <cell r="B344">
            <v>6775</v>
          </cell>
          <cell r="C344">
            <v>19147</v>
          </cell>
          <cell r="D344">
            <v>19021</v>
          </cell>
          <cell r="E344">
            <v>5278</v>
          </cell>
          <cell r="F344">
            <v>20886</v>
          </cell>
          <cell r="G344">
            <v>4807</v>
          </cell>
          <cell r="H344">
            <v>7523</v>
          </cell>
          <cell r="I344">
            <v>4371</v>
          </cell>
          <cell r="L344">
            <v>7464</v>
          </cell>
          <cell r="O344">
            <v>7316</v>
          </cell>
          <cell r="P344">
            <v>5905</v>
          </cell>
          <cell r="R344">
            <v>2346</v>
          </cell>
          <cell r="X344">
            <v>3131</v>
          </cell>
          <cell r="Z344">
            <v>7695</v>
          </cell>
          <cell r="AF344">
            <v>2454</v>
          </cell>
          <cell r="AI344">
            <v>5633</v>
          </cell>
          <cell r="DN344">
            <v>129752</v>
          </cell>
          <cell r="DO344">
            <v>344</v>
          </cell>
        </row>
        <row r="345">
          <cell r="A345" t="str">
            <v>Toledo, OH Metro Area</v>
          </cell>
          <cell r="B345">
            <v>8134</v>
          </cell>
          <cell r="C345">
            <v>57723</v>
          </cell>
          <cell r="D345">
            <v>44972</v>
          </cell>
          <cell r="E345">
            <v>77209</v>
          </cell>
          <cell r="F345">
            <v>47530</v>
          </cell>
          <cell r="G345">
            <v>61713</v>
          </cell>
          <cell r="H345">
            <v>35116</v>
          </cell>
          <cell r="I345">
            <v>62872</v>
          </cell>
          <cell r="J345">
            <v>33897</v>
          </cell>
          <cell r="K345">
            <v>21741</v>
          </cell>
          <cell r="L345">
            <v>25588</v>
          </cell>
          <cell r="M345">
            <v>13912</v>
          </cell>
          <cell r="N345">
            <v>9487</v>
          </cell>
          <cell r="O345">
            <v>3283</v>
          </cell>
          <cell r="P345">
            <v>8055</v>
          </cell>
          <cell r="Q345">
            <v>1564</v>
          </cell>
          <cell r="R345">
            <v>3830</v>
          </cell>
          <cell r="S345">
            <v>13008</v>
          </cell>
          <cell r="U345">
            <v>21775</v>
          </cell>
          <cell r="V345">
            <v>15922</v>
          </cell>
          <cell r="W345">
            <v>9977</v>
          </cell>
          <cell r="X345">
            <v>8552</v>
          </cell>
          <cell r="Y345">
            <v>3953</v>
          </cell>
          <cell r="Z345">
            <v>10520</v>
          </cell>
          <cell r="AB345">
            <v>3433</v>
          </cell>
          <cell r="AC345">
            <v>4723</v>
          </cell>
          <cell r="AF345">
            <v>3941</v>
          </cell>
          <cell r="AG345">
            <v>7142</v>
          </cell>
          <cell r="AH345">
            <v>13582</v>
          </cell>
          <cell r="AI345">
            <v>7910</v>
          </cell>
          <cell r="AL345">
            <v>3934</v>
          </cell>
          <cell r="AN345">
            <v>2334</v>
          </cell>
          <cell r="AP345">
            <v>9570</v>
          </cell>
          <cell r="AQ345">
            <v>2297</v>
          </cell>
          <cell r="DN345">
            <v>659199</v>
          </cell>
          <cell r="DO345">
            <v>345</v>
          </cell>
        </row>
        <row r="346">
          <cell r="A346" t="str">
            <v>Topeka, KS Metro Area</v>
          </cell>
          <cell r="B346">
            <v>8020</v>
          </cell>
          <cell r="C346">
            <v>29636</v>
          </cell>
          <cell r="D346">
            <v>29815</v>
          </cell>
          <cell r="E346">
            <v>32271</v>
          </cell>
          <cell r="F346">
            <v>10013</v>
          </cell>
          <cell r="G346">
            <v>24592</v>
          </cell>
          <cell r="H346">
            <v>15012</v>
          </cell>
          <cell r="I346">
            <v>6785</v>
          </cell>
          <cell r="J346">
            <v>4175</v>
          </cell>
          <cell r="M346">
            <v>15166</v>
          </cell>
          <cell r="R346">
            <v>7422</v>
          </cell>
          <cell r="U346">
            <v>3033</v>
          </cell>
          <cell r="X346">
            <v>5077</v>
          </cell>
          <cell r="Y346">
            <v>8294</v>
          </cell>
          <cell r="Z346">
            <v>3655</v>
          </cell>
          <cell r="AB346">
            <v>4229</v>
          </cell>
          <cell r="AD346">
            <v>7771</v>
          </cell>
          <cell r="AE346">
            <v>3131</v>
          </cell>
          <cell r="AF346">
            <v>4173</v>
          </cell>
          <cell r="AI346">
            <v>2301</v>
          </cell>
          <cell r="DN346">
            <v>224571</v>
          </cell>
          <cell r="DO346">
            <v>346</v>
          </cell>
        </row>
        <row r="347">
          <cell r="A347" t="str">
            <v>Trenton-Ewing, NJ Metro Area</v>
          </cell>
          <cell r="B347">
            <v>30192</v>
          </cell>
          <cell r="C347">
            <v>63597</v>
          </cell>
          <cell r="D347">
            <v>47343</v>
          </cell>
          <cell r="E347">
            <v>33823</v>
          </cell>
          <cell r="F347">
            <v>30299</v>
          </cell>
          <cell r="G347">
            <v>25722</v>
          </cell>
          <cell r="H347">
            <v>11248</v>
          </cell>
          <cell r="I347">
            <v>12975</v>
          </cell>
          <cell r="J347">
            <v>15476</v>
          </cell>
          <cell r="K347">
            <v>19568</v>
          </cell>
          <cell r="L347">
            <v>25540</v>
          </cell>
          <cell r="M347">
            <v>11975</v>
          </cell>
          <cell r="N347">
            <v>15575</v>
          </cell>
          <cell r="P347">
            <v>7433</v>
          </cell>
          <cell r="DN347">
            <v>350766</v>
          </cell>
          <cell r="DO347">
            <v>347</v>
          </cell>
        </row>
        <row r="348">
          <cell r="A348" t="str">
            <v>Tucson, AZ Metro Area</v>
          </cell>
          <cell r="B348">
            <v>13685</v>
          </cell>
          <cell r="C348">
            <v>32707</v>
          </cell>
          <cell r="D348">
            <v>54627</v>
          </cell>
          <cell r="E348">
            <v>79638</v>
          </cell>
          <cell r="F348">
            <v>87665</v>
          </cell>
          <cell r="G348">
            <v>64019</v>
          </cell>
          <cell r="H348">
            <v>76311</v>
          </cell>
          <cell r="I348">
            <v>66257</v>
          </cell>
          <cell r="J348">
            <v>68707</v>
          </cell>
          <cell r="K348">
            <v>63181</v>
          </cell>
          <cell r="L348">
            <v>38051</v>
          </cell>
          <cell r="M348">
            <v>46838</v>
          </cell>
          <cell r="N348">
            <v>25493</v>
          </cell>
          <cell r="O348">
            <v>21207</v>
          </cell>
          <cell r="P348">
            <v>16533</v>
          </cell>
          <cell r="Q348">
            <v>9452</v>
          </cell>
          <cell r="R348">
            <v>6699</v>
          </cell>
          <cell r="S348">
            <v>7818</v>
          </cell>
          <cell r="U348">
            <v>6191</v>
          </cell>
          <cell r="V348">
            <v>7302</v>
          </cell>
          <cell r="W348">
            <v>7565</v>
          </cell>
          <cell r="Y348">
            <v>6629</v>
          </cell>
          <cell r="Z348">
            <v>13452</v>
          </cell>
          <cell r="AA348">
            <v>1665</v>
          </cell>
          <cell r="AC348">
            <v>5498</v>
          </cell>
          <cell r="AE348">
            <v>488</v>
          </cell>
          <cell r="AG348">
            <v>753</v>
          </cell>
          <cell r="AH348">
            <v>3877</v>
          </cell>
          <cell r="BF348">
            <v>4713</v>
          </cell>
          <cell r="BM348">
            <v>1248</v>
          </cell>
          <cell r="CJ348">
            <v>1525</v>
          </cell>
          <cell r="CW348">
            <v>3911</v>
          </cell>
          <cell r="DN348">
            <v>843705</v>
          </cell>
          <cell r="DO348">
            <v>348</v>
          </cell>
        </row>
        <row r="349">
          <cell r="A349" t="str">
            <v>Tulsa, OK Metro Area</v>
          </cell>
          <cell r="B349">
            <v>3508</v>
          </cell>
          <cell r="C349">
            <v>34390</v>
          </cell>
          <cell r="D349">
            <v>36448</v>
          </cell>
          <cell r="E349">
            <v>34918</v>
          </cell>
          <cell r="F349">
            <v>53406</v>
          </cell>
          <cell r="G349">
            <v>51692</v>
          </cell>
          <cell r="H349">
            <v>51648</v>
          </cell>
          <cell r="I349">
            <v>43484</v>
          </cell>
          <cell r="J349">
            <v>61278</v>
          </cell>
          <cell r="K349">
            <v>40226</v>
          </cell>
          <cell r="L349">
            <v>29686</v>
          </cell>
          <cell r="M349">
            <v>50398</v>
          </cell>
          <cell r="N349">
            <v>31390</v>
          </cell>
          <cell r="O349">
            <v>46113</v>
          </cell>
          <cell r="P349">
            <v>31216</v>
          </cell>
          <cell r="Q349">
            <v>18132</v>
          </cell>
          <cell r="R349">
            <v>26501</v>
          </cell>
          <cell r="S349">
            <v>13462</v>
          </cell>
          <cell r="T349">
            <v>7424</v>
          </cell>
          <cell r="U349">
            <v>2627</v>
          </cell>
          <cell r="V349">
            <v>10980</v>
          </cell>
          <cell r="W349">
            <v>5317</v>
          </cell>
          <cell r="X349">
            <v>10750</v>
          </cell>
          <cell r="Y349">
            <v>16090</v>
          </cell>
          <cell r="Z349">
            <v>11200</v>
          </cell>
          <cell r="AA349">
            <v>5166</v>
          </cell>
          <cell r="AB349">
            <v>7330</v>
          </cell>
          <cell r="AC349">
            <v>6513</v>
          </cell>
          <cell r="AD349">
            <v>16296</v>
          </cell>
          <cell r="AE349">
            <v>4632</v>
          </cell>
          <cell r="AF349">
            <v>3119</v>
          </cell>
          <cell r="AG349">
            <v>6690</v>
          </cell>
          <cell r="AI349">
            <v>8685</v>
          </cell>
          <cell r="AJ349">
            <v>7093</v>
          </cell>
          <cell r="AK349">
            <v>3470</v>
          </cell>
          <cell r="AL349">
            <v>6775</v>
          </cell>
          <cell r="AM349">
            <v>16433</v>
          </cell>
          <cell r="AN349">
            <v>2973</v>
          </cell>
          <cell r="AO349">
            <v>10547</v>
          </cell>
          <cell r="AP349">
            <v>2298</v>
          </cell>
          <cell r="AR349">
            <v>5801</v>
          </cell>
          <cell r="AU349">
            <v>2660</v>
          </cell>
          <cell r="AV349">
            <v>6047</v>
          </cell>
          <cell r="AX349">
            <v>3192</v>
          </cell>
          <cell r="AY349">
            <v>4755</v>
          </cell>
          <cell r="BI349">
            <v>6867</v>
          </cell>
          <cell r="DN349">
            <v>859626</v>
          </cell>
          <cell r="DO349">
            <v>349</v>
          </cell>
        </row>
        <row r="350">
          <cell r="A350" t="str">
            <v>Tuscaloosa, AL Metro Area</v>
          </cell>
          <cell r="B350">
            <v>10888</v>
          </cell>
          <cell r="C350">
            <v>25654</v>
          </cell>
          <cell r="D350">
            <v>22796</v>
          </cell>
          <cell r="E350">
            <v>8560</v>
          </cell>
          <cell r="F350">
            <v>20915</v>
          </cell>
          <cell r="G350">
            <v>18274</v>
          </cell>
          <cell r="H350">
            <v>11162</v>
          </cell>
          <cell r="I350">
            <v>7196</v>
          </cell>
          <cell r="J350">
            <v>3630</v>
          </cell>
          <cell r="L350">
            <v>12586</v>
          </cell>
          <cell r="N350">
            <v>6741</v>
          </cell>
          <cell r="O350">
            <v>2501</v>
          </cell>
          <cell r="Q350">
            <v>5256</v>
          </cell>
          <cell r="R350">
            <v>3542</v>
          </cell>
          <cell r="T350">
            <v>1740</v>
          </cell>
          <cell r="Z350">
            <v>8889</v>
          </cell>
          <cell r="AF350">
            <v>8470</v>
          </cell>
          <cell r="AH350">
            <v>2529</v>
          </cell>
          <cell r="AL350">
            <v>6889</v>
          </cell>
          <cell r="AR350">
            <v>3102</v>
          </cell>
          <cell r="AV350">
            <v>1799</v>
          </cell>
          <cell r="DN350">
            <v>193119</v>
          </cell>
          <cell r="DO350">
            <v>350</v>
          </cell>
        </row>
        <row r="351">
          <cell r="A351" t="str">
            <v>Tyler, TX Metro Area</v>
          </cell>
          <cell r="B351">
            <v>7323</v>
          </cell>
          <cell r="C351">
            <v>27320</v>
          </cell>
          <cell r="D351">
            <v>14849</v>
          </cell>
          <cell r="E351">
            <v>4790</v>
          </cell>
          <cell r="F351">
            <v>26999</v>
          </cell>
          <cell r="G351">
            <v>27390</v>
          </cell>
          <cell r="H351">
            <v>4255</v>
          </cell>
          <cell r="K351">
            <v>3914</v>
          </cell>
          <cell r="L351">
            <v>6344</v>
          </cell>
          <cell r="M351">
            <v>10217</v>
          </cell>
          <cell r="N351">
            <v>15942</v>
          </cell>
          <cell r="O351">
            <v>5009</v>
          </cell>
          <cell r="P351">
            <v>9279</v>
          </cell>
          <cell r="Q351">
            <v>7539</v>
          </cell>
          <cell r="S351">
            <v>3691</v>
          </cell>
          <cell r="DN351">
            <v>174861</v>
          </cell>
          <cell r="DO351">
            <v>351</v>
          </cell>
        </row>
        <row r="352">
          <cell r="A352" t="str">
            <v>Utica-Rome, NY Metro Area</v>
          </cell>
          <cell r="B352">
            <v>18740</v>
          </cell>
          <cell r="C352">
            <v>28998</v>
          </cell>
          <cell r="D352">
            <v>22971</v>
          </cell>
          <cell r="E352">
            <v>14314</v>
          </cell>
          <cell r="F352">
            <v>17788</v>
          </cell>
          <cell r="G352">
            <v>6862</v>
          </cell>
          <cell r="H352">
            <v>14734</v>
          </cell>
          <cell r="I352">
            <v>4591</v>
          </cell>
          <cell r="J352">
            <v>3907</v>
          </cell>
          <cell r="K352">
            <v>6555</v>
          </cell>
          <cell r="L352">
            <v>14791</v>
          </cell>
          <cell r="M352">
            <v>9172</v>
          </cell>
          <cell r="N352">
            <v>4540</v>
          </cell>
          <cell r="O352">
            <v>36139</v>
          </cell>
          <cell r="P352">
            <v>22256</v>
          </cell>
          <cell r="Q352">
            <v>8905</v>
          </cell>
          <cell r="R352">
            <v>8412</v>
          </cell>
          <cell r="S352">
            <v>2948</v>
          </cell>
          <cell r="T352">
            <v>3152</v>
          </cell>
          <cell r="U352">
            <v>14375</v>
          </cell>
          <cell r="V352">
            <v>3866</v>
          </cell>
          <cell r="W352">
            <v>3404</v>
          </cell>
          <cell r="X352">
            <v>3051</v>
          </cell>
          <cell r="Y352">
            <v>2079</v>
          </cell>
          <cell r="AA352">
            <v>1691</v>
          </cell>
          <cell r="AB352">
            <v>8590</v>
          </cell>
          <cell r="AC352">
            <v>5822</v>
          </cell>
          <cell r="AG352">
            <v>5006</v>
          </cell>
          <cell r="AP352">
            <v>2353</v>
          </cell>
          <cell r="DN352">
            <v>300012</v>
          </cell>
          <cell r="DO352">
            <v>352</v>
          </cell>
        </row>
        <row r="353">
          <cell r="A353" t="str">
            <v>Valdosta, GA Metro Area</v>
          </cell>
          <cell r="B353">
            <v>6002</v>
          </cell>
          <cell r="C353">
            <v>18175</v>
          </cell>
          <cell r="D353">
            <v>13621</v>
          </cell>
          <cell r="E353">
            <v>6926</v>
          </cell>
          <cell r="F353">
            <v>7652</v>
          </cell>
          <cell r="G353">
            <v>3631</v>
          </cell>
          <cell r="H353">
            <v>2120</v>
          </cell>
          <cell r="I353">
            <v>10338</v>
          </cell>
          <cell r="J353">
            <v>16620</v>
          </cell>
          <cell r="L353">
            <v>7036</v>
          </cell>
          <cell r="M353">
            <v>5216</v>
          </cell>
          <cell r="O353">
            <v>2195</v>
          </cell>
          <cell r="R353">
            <v>6874</v>
          </cell>
          <cell r="S353">
            <v>5664</v>
          </cell>
          <cell r="T353">
            <v>1552</v>
          </cell>
          <cell r="V353">
            <v>4256</v>
          </cell>
          <cell r="AB353">
            <v>1698</v>
          </cell>
          <cell r="DN353">
            <v>119576</v>
          </cell>
          <cell r="DO353">
            <v>353</v>
          </cell>
        </row>
        <row r="354">
          <cell r="A354" t="str">
            <v>Vallejo-Fairfield, CA Metro Area</v>
          </cell>
          <cell r="B354">
            <v>16816</v>
          </cell>
          <cell r="C354">
            <v>25274</v>
          </cell>
          <cell r="D354">
            <v>30813</v>
          </cell>
          <cell r="E354">
            <v>44236</v>
          </cell>
          <cell r="F354">
            <v>5837</v>
          </cell>
          <cell r="G354">
            <v>8757</v>
          </cell>
          <cell r="H354">
            <v>11035</v>
          </cell>
          <cell r="I354">
            <v>4099</v>
          </cell>
          <cell r="J354">
            <v>6720</v>
          </cell>
          <cell r="L354">
            <v>5013</v>
          </cell>
          <cell r="O354">
            <v>3283</v>
          </cell>
          <cell r="P354">
            <v>5116</v>
          </cell>
          <cell r="Q354">
            <v>12455</v>
          </cell>
          <cell r="R354">
            <v>38276</v>
          </cell>
          <cell r="S354">
            <v>29705</v>
          </cell>
          <cell r="T354">
            <v>13608</v>
          </cell>
          <cell r="U354">
            <v>2808</v>
          </cell>
          <cell r="W354">
            <v>22100</v>
          </cell>
          <cell r="X354">
            <v>27900</v>
          </cell>
          <cell r="Y354">
            <v>23437</v>
          </cell>
          <cell r="Z354">
            <v>18277</v>
          </cell>
          <cell r="AA354">
            <v>6444</v>
          </cell>
          <cell r="AB354">
            <v>4234</v>
          </cell>
          <cell r="AC354">
            <v>3449</v>
          </cell>
          <cell r="AF354">
            <v>5737</v>
          </cell>
          <cell r="AH354">
            <v>7344</v>
          </cell>
          <cell r="AI354">
            <v>11722</v>
          </cell>
          <cell r="DN354">
            <v>394495</v>
          </cell>
          <cell r="DO354">
            <v>354</v>
          </cell>
        </row>
        <row r="355">
          <cell r="A355" t="str">
            <v>Victoria, TX Metro Area</v>
          </cell>
          <cell r="B355">
            <v>2402</v>
          </cell>
          <cell r="C355">
            <v>16527</v>
          </cell>
          <cell r="D355">
            <v>13100</v>
          </cell>
          <cell r="E355">
            <v>14615</v>
          </cell>
          <cell r="F355">
            <v>2011</v>
          </cell>
          <cell r="G355">
            <v>9826</v>
          </cell>
          <cell r="H355">
            <v>14366</v>
          </cell>
          <cell r="I355">
            <v>2166</v>
          </cell>
          <cell r="J355">
            <v>2901</v>
          </cell>
          <cell r="L355">
            <v>4364</v>
          </cell>
          <cell r="N355">
            <v>1799</v>
          </cell>
          <cell r="T355">
            <v>3893</v>
          </cell>
          <cell r="AA355">
            <v>11179</v>
          </cell>
          <cell r="AB355">
            <v>4372</v>
          </cell>
          <cell r="AD355">
            <v>3030</v>
          </cell>
          <cell r="AH355">
            <v>1514</v>
          </cell>
          <cell r="AJ355">
            <v>3580</v>
          </cell>
          <cell r="DN355">
            <v>111645</v>
          </cell>
          <cell r="DO355">
            <v>355</v>
          </cell>
        </row>
        <row r="356">
          <cell r="A356" t="str">
            <v>Vineland-Millville-Bridgeton, NJ Metro Area</v>
          </cell>
          <cell r="B356">
            <v>15867</v>
          </cell>
          <cell r="C356">
            <v>20571</v>
          </cell>
          <cell r="D356">
            <v>9129</v>
          </cell>
          <cell r="E356">
            <v>10240</v>
          </cell>
          <cell r="G356">
            <v>7481</v>
          </cell>
          <cell r="H356">
            <v>13035</v>
          </cell>
          <cell r="I356">
            <v>9233</v>
          </cell>
          <cell r="L356">
            <v>10659</v>
          </cell>
          <cell r="M356">
            <v>19612</v>
          </cell>
          <cell r="N356">
            <v>14380</v>
          </cell>
          <cell r="O356">
            <v>8519</v>
          </cell>
          <cell r="R356">
            <v>1627</v>
          </cell>
          <cell r="S356">
            <v>6090</v>
          </cell>
          <cell r="DN356">
            <v>146443</v>
          </cell>
          <cell r="DO356">
            <v>356</v>
          </cell>
        </row>
        <row r="357">
          <cell r="A357" t="str">
            <v>Virginia Beach-Norfolk-Newport News, VA-NC Metro Area</v>
          </cell>
          <cell r="C357">
            <v>24547</v>
          </cell>
          <cell r="E357">
            <v>43991</v>
          </cell>
          <cell r="F357">
            <v>46097</v>
          </cell>
          <cell r="G357">
            <v>42241</v>
          </cell>
          <cell r="H357">
            <v>64047</v>
          </cell>
          <cell r="I357">
            <v>60019</v>
          </cell>
          <cell r="J357">
            <v>77616</v>
          </cell>
          <cell r="K357">
            <v>50950</v>
          </cell>
          <cell r="L357">
            <v>58506</v>
          </cell>
          <cell r="M357">
            <v>76312</v>
          </cell>
          <cell r="N357">
            <v>42574</v>
          </cell>
          <cell r="O357">
            <v>36736</v>
          </cell>
          <cell r="P357">
            <v>60967</v>
          </cell>
          <cell r="Q357">
            <v>76870</v>
          </cell>
          <cell r="R357">
            <v>65361</v>
          </cell>
          <cell r="S357">
            <v>42010</v>
          </cell>
          <cell r="T357">
            <v>27680</v>
          </cell>
          <cell r="U357">
            <v>27879</v>
          </cell>
          <cell r="V357">
            <v>34610</v>
          </cell>
          <cell r="W357">
            <v>15912</v>
          </cell>
          <cell r="X357">
            <v>3212</v>
          </cell>
          <cell r="Y357">
            <v>7769</v>
          </cell>
          <cell r="Z357">
            <v>28230</v>
          </cell>
          <cell r="AA357">
            <v>53207</v>
          </cell>
          <cell r="AB357">
            <v>35269</v>
          </cell>
          <cell r="AC357">
            <v>35609</v>
          </cell>
          <cell r="AD357">
            <v>32206</v>
          </cell>
          <cell r="AE357">
            <v>31468</v>
          </cell>
          <cell r="AF357">
            <v>25896</v>
          </cell>
          <cell r="AG357">
            <v>28376</v>
          </cell>
          <cell r="AH357">
            <v>24970</v>
          </cell>
          <cell r="AI357">
            <v>24063</v>
          </cell>
          <cell r="AJ357">
            <v>27332</v>
          </cell>
          <cell r="AK357">
            <v>9489</v>
          </cell>
          <cell r="AL357">
            <v>32186</v>
          </cell>
          <cell r="AM357">
            <v>18007</v>
          </cell>
          <cell r="AN357">
            <v>33538</v>
          </cell>
          <cell r="AO357">
            <v>5343</v>
          </cell>
          <cell r="AP357">
            <v>9054</v>
          </cell>
          <cell r="AQ357">
            <v>1362</v>
          </cell>
          <cell r="AR357">
            <v>14540</v>
          </cell>
          <cell r="AS357">
            <v>9624</v>
          </cell>
          <cell r="AT357">
            <v>3394</v>
          </cell>
          <cell r="AU357">
            <v>1456</v>
          </cell>
          <cell r="AV357">
            <v>1820</v>
          </cell>
          <cell r="AW357">
            <v>10183</v>
          </cell>
          <cell r="AX357">
            <v>5191</v>
          </cell>
          <cell r="AY357">
            <v>4972</v>
          </cell>
          <cell r="AZ357">
            <v>12661</v>
          </cell>
          <cell r="BA357">
            <v>14241</v>
          </cell>
          <cell r="BB357">
            <v>11566</v>
          </cell>
          <cell r="BC357">
            <v>10231</v>
          </cell>
          <cell r="BD357">
            <v>14130</v>
          </cell>
          <cell r="BF357">
            <v>6131</v>
          </cell>
          <cell r="BH357">
            <v>11061</v>
          </cell>
          <cell r="BK357">
            <v>4196</v>
          </cell>
          <cell r="DN357">
            <v>1576908</v>
          </cell>
          <cell r="DO357">
            <v>357</v>
          </cell>
        </row>
        <row r="358">
          <cell r="A358" t="str">
            <v>Visalia-Porterville, CA Metro Area</v>
          </cell>
          <cell r="B358">
            <v>15085</v>
          </cell>
          <cell r="C358">
            <v>33692</v>
          </cell>
          <cell r="D358">
            <v>31426</v>
          </cell>
          <cell r="E358">
            <v>14210</v>
          </cell>
          <cell r="F358">
            <v>9627</v>
          </cell>
          <cell r="G358">
            <v>19197</v>
          </cell>
          <cell r="I358">
            <v>10425</v>
          </cell>
          <cell r="J358">
            <v>25533</v>
          </cell>
          <cell r="K358">
            <v>26170</v>
          </cell>
          <cell r="L358">
            <v>3339</v>
          </cell>
          <cell r="M358">
            <v>2625</v>
          </cell>
          <cell r="N358">
            <v>10434</v>
          </cell>
          <cell r="O358">
            <v>14383</v>
          </cell>
          <cell r="P358">
            <v>18185</v>
          </cell>
          <cell r="Q358">
            <v>12335</v>
          </cell>
          <cell r="R358">
            <v>11436</v>
          </cell>
          <cell r="S358">
            <v>7173</v>
          </cell>
          <cell r="T358">
            <v>10832</v>
          </cell>
          <cell r="W358">
            <v>16396</v>
          </cell>
          <cell r="X358">
            <v>11208</v>
          </cell>
          <cell r="Y358">
            <v>12530</v>
          </cell>
          <cell r="Z358">
            <v>16039</v>
          </cell>
          <cell r="AA358">
            <v>9863</v>
          </cell>
          <cell r="AB358">
            <v>937</v>
          </cell>
          <cell r="AF358">
            <v>6407</v>
          </cell>
          <cell r="AG358">
            <v>6598</v>
          </cell>
          <cell r="AH358">
            <v>5192</v>
          </cell>
          <cell r="AI358">
            <v>6748</v>
          </cell>
          <cell r="DN358">
            <v>368025</v>
          </cell>
          <cell r="DO358">
            <v>358</v>
          </cell>
        </row>
        <row r="359">
          <cell r="A359" t="str">
            <v>Waco, TX Metro Area</v>
          </cell>
          <cell r="B359">
            <v>5940</v>
          </cell>
          <cell r="C359">
            <v>39867</v>
          </cell>
          <cell r="D359">
            <v>24041</v>
          </cell>
          <cell r="E359">
            <v>24893</v>
          </cell>
          <cell r="F359">
            <v>19996</v>
          </cell>
          <cell r="G359">
            <v>15703</v>
          </cell>
          <cell r="H359">
            <v>3043</v>
          </cell>
          <cell r="I359">
            <v>20030</v>
          </cell>
          <cell r="J359">
            <v>14458</v>
          </cell>
          <cell r="K359">
            <v>2383</v>
          </cell>
          <cell r="L359">
            <v>3871</v>
          </cell>
          <cell r="M359">
            <v>2664</v>
          </cell>
          <cell r="N359">
            <v>9638</v>
          </cell>
          <cell r="O359">
            <v>3406</v>
          </cell>
          <cell r="Q359">
            <v>11124</v>
          </cell>
          <cell r="R359">
            <v>6954</v>
          </cell>
          <cell r="U359">
            <v>5516</v>
          </cell>
          <cell r="DN359">
            <v>213527</v>
          </cell>
          <cell r="DO359">
            <v>359</v>
          </cell>
        </row>
        <row r="360">
          <cell r="A360" t="str">
            <v>Warner Robins, GA Metro Area</v>
          </cell>
          <cell r="B360">
            <v>5882</v>
          </cell>
          <cell r="C360">
            <v>17778</v>
          </cell>
          <cell r="D360">
            <v>22455</v>
          </cell>
          <cell r="E360">
            <v>6908</v>
          </cell>
          <cell r="F360">
            <v>15908</v>
          </cell>
          <cell r="G360">
            <v>5864</v>
          </cell>
          <cell r="H360">
            <v>14278</v>
          </cell>
          <cell r="I360">
            <v>3884</v>
          </cell>
          <cell r="M360">
            <v>9772</v>
          </cell>
          <cell r="P360">
            <v>3922</v>
          </cell>
          <cell r="S360">
            <v>4097</v>
          </cell>
          <cell r="DN360">
            <v>110748</v>
          </cell>
          <cell r="DO360">
            <v>360</v>
          </cell>
        </row>
        <row r="361">
          <cell r="A361" t="str">
            <v>Washington-Arlington-Alexandria, DC-VA-MD-WV Metro Area</v>
          </cell>
          <cell r="B361">
            <v>26067</v>
          </cell>
          <cell r="C361">
            <v>110997</v>
          </cell>
          <cell r="D361">
            <v>138433</v>
          </cell>
          <cell r="E361">
            <v>162304</v>
          </cell>
          <cell r="F361">
            <v>222562</v>
          </cell>
          <cell r="G361">
            <v>247992</v>
          </cell>
          <cell r="H361">
            <v>215680</v>
          </cell>
          <cell r="I361">
            <v>265086</v>
          </cell>
          <cell r="J361">
            <v>224557</v>
          </cell>
          <cell r="K361">
            <v>188232</v>
          </cell>
          <cell r="L361">
            <v>186172</v>
          </cell>
          <cell r="M361">
            <v>195466</v>
          </cell>
          <cell r="N361">
            <v>196740</v>
          </cell>
          <cell r="O361">
            <v>145721</v>
          </cell>
          <cell r="P361">
            <v>165843</v>
          </cell>
          <cell r="Q361">
            <v>139065</v>
          </cell>
          <cell r="R361">
            <v>128195</v>
          </cell>
          <cell r="S361">
            <v>114846</v>
          </cell>
          <cell r="T361">
            <v>116247</v>
          </cell>
          <cell r="U361">
            <v>125232</v>
          </cell>
          <cell r="V361">
            <v>150475</v>
          </cell>
          <cell r="W361">
            <v>125095</v>
          </cell>
          <cell r="X361">
            <v>97912</v>
          </cell>
          <cell r="Y361">
            <v>100730</v>
          </cell>
          <cell r="Z361">
            <v>50931</v>
          </cell>
          <cell r="AA361">
            <v>90322</v>
          </cell>
          <cell r="AB361">
            <v>80604</v>
          </cell>
          <cell r="AC361">
            <v>48624</v>
          </cell>
          <cell r="AD361">
            <v>26875</v>
          </cell>
          <cell r="AE361">
            <v>16613</v>
          </cell>
          <cell r="AF361">
            <v>26003</v>
          </cell>
          <cell r="AG361">
            <v>29093</v>
          </cell>
          <cell r="AH361">
            <v>15687</v>
          </cell>
          <cell r="AI361">
            <v>21128</v>
          </cell>
          <cell r="AJ361">
            <v>26106</v>
          </cell>
          <cell r="AK361">
            <v>10621</v>
          </cell>
          <cell r="AL361">
            <v>26593</v>
          </cell>
          <cell r="AM361">
            <v>20472</v>
          </cell>
          <cell r="AN361">
            <v>21137</v>
          </cell>
          <cell r="AO361">
            <v>32193</v>
          </cell>
          <cell r="AP361">
            <v>30933</v>
          </cell>
          <cell r="AQ361">
            <v>28866</v>
          </cell>
          <cell r="AR361">
            <v>33212</v>
          </cell>
          <cell r="AS361">
            <v>44376</v>
          </cell>
          <cell r="AT361">
            <v>31102</v>
          </cell>
          <cell r="AU361">
            <v>11242</v>
          </cell>
          <cell r="AV361">
            <v>19984</v>
          </cell>
          <cell r="AW361">
            <v>40554</v>
          </cell>
          <cell r="AX361">
            <v>16985</v>
          </cell>
          <cell r="AY361">
            <v>16827</v>
          </cell>
          <cell r="AZ361">
            <v>22943</v>
          </cell>
          <cell r="BA361">
            <v>21696</v>
          </cell>
          <cell r="BB361">
            <v>26296</v>
          </cell>
          <cell r="BC361">
            <v>24183</v>
          </cell>
          <cell r="BD361">
            <v>16827</v>
          </cell>
          <cell r="BE361">
            <v>9071</v>
          </cell>
          <cell r="BF361">
            <v>11483</v>
          </cell>
          <cell r="BG361">
            <v>10423</v>
          </cell>
          <cell r="BH361">
            <v>9571</v>
          </cell>
          <cell r="BJ361">
            <v>7187</v>
          </cell>
          <cell r="BL361">
            <v>6787</v>
          </cell>
          <cell r="BM361">
            <v>6725</v>
          </cell>
          <cell r="BN361">
            <v>3203</v>
          </cell>
          <cell r="BO361">
            <v>2861</v>
          </cell>
          <cell r="BP361">
            <v>5389</v>
          </cell>
          <cell r="BQ361">
            <v>2679</v>
          </cell>
          <cell r="BR361">
            <v>2383</v>
          </cell>
          <cell r="DN361">
            <v>4796439</v>
          </cell>
          <cell r="DO361">
            <v>361</v>
          </cell>
        </row>
        <row r="362">
          <cell r="A362" t="str">
            <v>Waterloo-Cedar Falls, IA Metro Area</v>
          </cell>
          <cell r="B362">
            <v>8661</v>
          </cell>
          <cell r="C362">
            <v>25316</v>
          </cell>
          <cell r="D362">
            <v>22410</v>
          </cell>
          <cell r="E362">
            <v>12031</v>
          </cell>
          <cell r="F362">
            <v>14855</v>
          </cell>
          <cell r="G362">
            <v>9237</v>
          </cell>
          <cell r="H362">
            <v>12536</v>
          </cell>
          <cell r="I362">
            <v>12217</v>
          </cell>
          <cell r="J362">
            <v>3715</v>
          </cell>
          <cell r="K362">
            <v>2887</v>
          </cell>
          <cell r="N362">
            <v>8539</v>
          </cell>
          <cell r="P362">
            <v>1947</v>
          </cell>
          <cell r="Q362">
            <v>4316</v>
          </cell>
          <cell r="R362">
            <v>3300</v>
          </cell>
          <cell r="S362">
            <v>5903</v>
          </cell>
          <cell r="V362">
            <v>2918</v>
          </cell>
          <cell r="Z362">
            <v>5577</v>
          </cell>
          <cell r="AA362">
            <v>2972</v>
          </cell>
          <cell r="AC362">
            <v>2141</v>
          </cell>
          <cell r="AH362">
            <v>2240</v>
          </cell>
          <cell r="DN362">
            <v>163718</v>
          </cell>
          <cell r="DO362">
            <v>362</v>
          </cell>
        </row>
        <row r="363">
          <cell r="A363" t="str">
            <v>Wausau, WI Metro Area</v>
          </cell>
          <cell r="B363">
            <v>14807</v>
          </cell>
          <cell r="C363">
            <v>21222</v>
          </cell>
          <cell r="E363">
            <v>9713</v>
          </cell>
          <cell r="F363">
            <v>20668</v>
          </cell>
          <cell r="G363">
            <v>7856</v>
          </cell>
          <cell r="K363">
            <v>6195</v>
          </cell>
          <cell r="M363">
            <v>5407</v>
          </cell>
          <cell r="N363">
            <v>5568</v>
          </cell>
          <cell r="O363">
            <v>5850</v>
          </cell>
          <cell r="S363">
            <v>4986</v>
          </cell>
          <cell r="T363">
            <v>10509</v>
          </cell>
          <cell r="Y363">
            <v>3414</v>
          </cell>
          <cell r="AF363">
            <v>3359</v>
          </cell>
          <cell r="AI363">
            <v>6353</v>
          </cell>
          <cell r="DN363">
            <v>125907</v>
          </cell>
          <cell r="DO363">
            <v>363</v>
          </cell>
        </row>
        <row r="364">
          <cell r="A364" t="str">
            <v>Wenatchee-East Wenatchee, WA Metro Area</v>
          </cell>
          <cell r="B364">
            <v>6630</v>
          </cell>
          <cell r="C364">
            <v>38216</v>
          </cell>
          <cell r="D364">
            <v>6415</v>
          </cell>
          <cell r="F364">
            <v>8028</v>
          </cell>
          <cell r="G364">
            <v>3554</v>
          </cell>
          <cell r="K364">
            <v>3942</v>
          </cell>
          <cell r="N364">
            <v>6866</v>
          </cell>
          <cell r="U364">
            <v>2167</v>
          </cell>
          <cell r="X364">
            <v>2249</v>
          </cell>
          <cell r="Y364">
            <v>5899</v>
          </cell>
          <cell r="AH364">
            <v>6211</v>
          </cell>
          <cell r="AI364">
            <v>3262</v>
          </cell>
          <cell r="AQ364">
            <v>5760</v>
          </cell>
          <cell r="DN364">
            <v>99199</v>
          </cell>
          <cell r="DO364">
            <v>364</v>
          </cell>
        </row>
        <row r="365">
          <cell r="A365" t="str">
            <v>Wheeling, WV-OH Metro Area</v>
          </cell>
          <cell r="B365">
            <v>5130</v>
          </cell>
          <cell r="C365">
            <v>14858</v>
          </cell>
          <cell r="D365">
            <v>18287</v>
          </cell>
          <cell r="E365">
            <v>17880</v>
          </cell>
          <cell r="F365">
            <v>11665</v>
          </cell>
          <cell r="G365">
            <v>7269</v>
          </cell>
          <cell r="H365">
            <v>4110</v>
          </cell>
          <cell r="I365">
            <v>6049</v>
          </cell>
          <cell r="J365">
            <v>15182</v>
          </cell>
          <cell r="K365">
            <v>3962</v>
          </cell>
          <cell r="L365">
            <v>12400</v>
          </cell>
          <cell r="N365">
            <v>5347</v>
          </cell>
          <cell r="P365">
            <v>5659</v>
          </cell>
          <cell r="Q365">
            <v>5339</v>
          </cell>
          <cell r="S365">
            <v>8453</v>
          </cell>
          <cell r="T365">
            <v>5004</v>
          </cell>
          <cell r="Y365">
            <v>6613</v>
          </cell>
          <cell r="DN365">
            <v>153207</v>
          </cell>
          <cell r="DO365">
            <v>365</v>
          </cell>
        </row>
        <row r="366">
          <cell r="A366" t="str">
            <v>Wichita, KS Metro Area</v>
          </cell>
          <cell r="B366">
            <v>4279</v>
          </cell>
          <cell r="C366">
            <v>38806</v>
          </cell>
          <cell r="D366">
            <v>56713</v>
          </cell>
          <cell r="E366">
            <v>66668</v>
          </cell>
          <cell r="F366">
            <v>50643</v>
          </cell>
          <cell r="G366">
            <v>43306</v>
          </cell>
          <cell r="H366">
            <v>62475</v>
          </cell>
          <cell r="I366">
            <v>42394</v>
          </cell>
          <cell r="J366">
            <v>12216</v>
          </cell>
          <cell r="K366">
            <v>20198</v>
          </cell>
          <cell r="L366">
            <v>29324</v>
          </cell>
          <cell r="M366">
            <v>7477</v>
          </cell>
          <cell r="N366">
            <v>5714</v>
          </cell>
          <cell r="O366">
            <v>7561</v>
          </cell>
          <cell r="P366">
            <v>7152</v>
          </cell>
          <cell r="Q366">
            <v>2465</v>
          </cell>
          <cell r="R366">
            <v>3864</v>
          </cell>
          <cell r="S366">
            <v>3678</v>
          </cell>
          <cell r="T366">
            <v>15337</v>
          </cell>
          <cell r="U366">
            <v>3102</v>
          </cell>
          <cell r="V366">
            <v>10795</v>
          </cell>
          <cell r="W366">
            <v>3711</v>
          </cell>
          <cell r="X366">
            <v>6047</v>
          </cell>
          <cell r="Y366">
            <v>12801</v>
          </cell>
          <cell r="AA366">
            <v>15570</v>
          </cell>
          <cell r="AB366">
            <v>5474</v>
          </cell>
          <cell r="AC366">
            <v>2532</v>
          </cell>
          <cell r="AD366">
            <v>3883</v>
          </cell>
          <cell r="AE366">
            <v>9156</v>
          </cell>
          <cell r="AF366">
            <v>6415</v>
          </cell>
          <cell r="AG366">
            <v>5857</v>
          </cell>
          <cell r="AH366">
            <v>2522</v>
          </cell>
          <cell r="AT366">
            <v>3041</v>
          </cell>
          <cell r="DN366">
            <v>571176</v>
          </cell>
          <cell r="DO366">
            <v>366</v>
          </cell>
        </row>
        <row r="367">
          <cell r="A367" t="str">
            <v>Wichita Falls, TX Metro Area</v>
          </cell>
          <cell r="B367">
            <v>7380</v>
          </cell>
          <cell r="C367">
            <v>12378</v>
          </cell>
          <cell r="D367">
            <v>15900</v>
          </cell>
          <cell r="E367">
            <v>24072</v>
          </cell>
          <cell r="F367">
            <v>27537</v>
          </cell>
          <cell r="G367">
            <v>15593</v>
          </cell>
          <cell r="H367">
            <v>5554</v>
          </cell>
          <cell r="I367">
            <v>2404</v>
          </cell>
          <cell r="L367">
            <v>5993</v>
          </cell>
          <cell r="M367">
            <v>9399</v>
          </cell>
          <cell r="N367">
            <v>3403</v>
          </cell>
          <cell r="O367">
            <v>5920</v>
          </cell>
          <cell r="S367">
            <v>2938</v>
          </cell>
          <cell r="T367">
            <v>3399</v>
          </cell>
          <cell r="X367">
            <v>3556</v>
          </cell>
          <cell r="AA367">
            <v>6169</v>
          </cell>
          <cell r="DN367">
            <v>151595</v>
          </cell>
          <cell r="DO367">
            <v>367</v>
          </cell>
        </row>
        <row r="368">
          <cell r="A368" t="str">
            <v>Williamsport, PA Metro Area</v>
          </cell>
          <cell r="B368">
            <v>22001</v>
          </cell>
          <cell r="C368">
            <v>10463</v>
          </cell>
          <cell r="D368">
            <v>16856</v>
          </cell>
          <cell r="E368">
            <v>7238</v>
          </cell>
          <cell r="F368">
            <v>4778</v>
          </cell>
          <cell r="H368">
            <v>5566</v>
          </cell>
          <cell r="I368">
            <v>12782</v>
          </cell>
          <cell r="J368">
            <v>6076</v>
          </cell>
          <cell r="L368">
            <v>6944</v>
          </cell>
          <cell r="N368">
            <v>7210</v>
          </cell>
          <cell r="O368">
            <v>6188</v>
          </cell>
          <cell r="P368">
            <v>5966</v>
          </cell>
          <cell r="S368">
            <v>2426</v>
          </cell>
          <cell r="U368">
            <v>1154</v>
          </cell>
          <cell r="V368">
            <v>4355</v>
          </cell>
          <cell r="DN368">
            <v>120003</v>
          </cell>
          <cell r="DO368">
            <v>368</v>
          </cell>
        </row>
        <row r="369">
          <cell r="A369" t="str">
            <v>Wilmington, NC Metro Area</v>
          </cell>
          <cell r="B369">
            <v>8487</v>
          </cell>
          <cell r="C369">
            <v>10729</v>
          </cell>
          <cell r="D369">
            <v>19683</v>
          </cell>
          <cell r="E369">
            <v>10222</v>
          </cell>
          <cell r="F369">
            <v>22008</v>
          </cell>
          <cell r="G369">
            <v>29993</v>
          </cell>
          <cell r="H369">
            <v>23525</v>
          </cell>
          <cell r="I369">
            <v>15022</v>
          </cell>
          <cell r="J369">
            <v>12641</v>
          </cell>
          <cell r="K369">
            <v>6091</v>
          </cell>
          <cell r="L369">
            <v>11141</v>
          </cell>
          <cell r="M369">
            <v>9108</v>
          </cell>
          <cell r="O369">
            <v>2552</v>
          </cell>
          <cell r="P369">
            <v>2573</v>
          </cell>
          <cell r="Q369">
            <v>14997</v>
          </cell>
          <cell r="R369">
            <v>1532</v>
          </cell>
          <cell r="U369">
            <v>2177</v>
          </cell>
          <cell r="V369">
            <v>5030</v>
          </cell>
          <cell r="W369">
            <v>6701</v>
          </cell>
          <cell r="X369">
            <v>8794</v>
          </cell>
          <cell r="Y369">
            <v>2353</v>
          </cell>
          <cell r="Z369">
            <v>6886</v>
          </cell>
          <cell r="AA369">
            <v>2572</v>
          </cell>
          <cell r="AB369">
            <v>2445</v>
          </cell>
          <cell r="AC369">
            <v>2120</v>
          </cell>
          <cell r="AD369">
            <v>2563</v>
          </cell>
          <cell r="AE369">
            <v>6134</v>
          </cell>
          <cell r="AF369">
            <v>7154</v>
          </cell>
          <cell r="AH369">
            <v>3071</v>
          </cell>
          <cell r="AJ369">
            <v>2116</v>
          </cell>
          <cell r="AL369">
            <v>3536</v>
          </cell>
          <cell r="AM369">
            <v>662</v>
          </cell>
          <cell r="AN369">
            <v>2625</v>
          </cell>
          <cell r="AP369">
            <v>3110</v>
          </cell>
          <cell r="AQ369">
            <v>556</v>
          </cell>
          <cell r="AR369">
            <v>3600</v>
          </cell>
          <cell r="DN369">
            <v>274509</v>
          </cell>
          <cell r="DO369">
            <v>369</v>
          </cell>
        </row>
        <row r="370">
          <cell r="A370" t="str">
            <v>Winchester, VA-WV Metro Area</v>
          </cell>
          <cell r="B370">
            <v>14957</v>
          </cell>
          <cell r="C370">
            <v>8791</v>
          </cell>
          <cell r="D370">
            <v>11698</v>
          </cell>
          <cell r="E370">
            <v>7677</v>
          </cell>
          <cell r="F370">
            <v>4374</v>
          </cell>
          <cell r="G370">
            <v>11059</v>
          </cell>
          <cell r="H370">
            <v>5833</v>
          </cell>
          <cell r="I370">
            <v>3501</v>
          </cell>
          <cell r="J370">
            <v>2903</v>
          </cell>
          <cell r="L370">
            <v>5024</v>
          </cell>
          <cell r="M370">
            <v>6997</v>
          </cell>
          <cell r="U370">
            <v>4248</v>
          </cell>
          <cell r="W370">
            <v>4301</v>
          </cell>
          <cell r="AE370">
            <v>4146</v>
          </cell>
          <cell r="AF370">
            <v>3401</v>
          </cell>
          <cell r="AJ370">
            <v>4087</v>
          </cell>
          <cell r="DN370">
            <v>102997</v>
          </cell>
          <cell r="DO370">
            <v>370</v>
          </cell>
        </row>
        <row r="371">
          <cell r="A371" t="str">
            <v>Winston-Salem, NC Metro Area</v>
          </cell>
          <cell r="B371">
            <v>8288</v>
          </cell>
          <cell r="C371">
            <v>28308</v>
          </cell>
          <cell r="D371">
            <v>28998</v>
          </cell>
          <cell r="E371">
            <v>31768</v>
          </cell>
          <cell r="F371">
            <v>44375</v>
          </cell>
          <cell r="G371">
            <v>31016</v>
          </cell>
          <cell r="H371">
            <v>34971</v>
          </cell>
          <cell r="I371">
            <v>8490</v>
          </cell>
          <cell r="J371">
            <v>31223</v>
          </cell>
          <cell r="K371">
            <v>15954</v>
          </cell>
          <cell r="L371">
            <v>36087</v>
          </cell>
          <cell r="M371">
            <v>3949</v>
          </cell>
          <cell r="N371">
            <v>2817</v>
          </cell>
          <cell r="P371">
            <v>22283</v>
          </cell>
          <cell r="Q371">
            <v>14102</v>
          </cell>
          <cell r="R371">
            <v>5091</v>
          </cell>
          <cell r="S371">
            <v>4072</v>
          </cell>
          <cell r="U371">
            <v>8847</v>
          </cell>
          <cell r="W371">
            <v>7501</v>
          </cell>
          <cell r="X371">
            <v>3384</v>
          </cell>
          <cell r="Y371">
            <v>6839</v>
          </cell>
          <cell r="Z371">
            <v>22946</v>
          </cell>
          <cell r="AB371">
            <v>4652</v>
          </cell>
          <cell r="AC371">
            <v>4218</v>
          </cell>
          <cell r="AF371">
            <v>6192</v>
          </cell>
          <cell r="AI371">
            <v>5725</v>
          </cell>
          <cell r="DN371">
            <v>422096</v>
          </cell>
          <cell r="DO371">
            <v>371</v>
          </cell>
        </row>
        <row r="372">
          <cell r="A372" t="str">
            <v>Worcester, MA Metro Area</v>
          </cell>
          <cell r="B372">
            <v>33163</v>
          </cell>
          <cell r="C372">
            <v>61519</v>
          </cell>
          <cell r="D372">
            <v>51779</v>
          </cell>
          <cell r="E372">
            <v>32302</v>
          </cell>
          <cell r="F372">
            <v>33442</v>
          </cell>
          <cell r="G372">
            <v>32961</v>
          </cell>
          <cell r="H372">
            <v>28485</v>
          </cell>
          <cell r="I372">
            <v>16355</v>
          </cell>
          <cell r="J372">
            <v>10606</v>
          </cell>
          <cell r="K372">
            <v>43081</v>
          </cell>
          <cell r="L372">
            <v>11484</v>
          </cell>
          <cell r="M372">
            <v>29541</v>
          </cell>
          <cell r="N372">
            <v>32130</v>
          </cell>
          <cell r="O372">
            <v>8167</v>
          </cell>
          <cell r="P372">
            <v>25747</v>
          </cell>
          <cell r="Q372">
            <v>38852</v>
          </cell>
          <cell r="R372">
            <v>37101</v>
          </cell>
          <cell r="S372">
            <v>38808</v>
          </cell>
          <cell r="T372">
            <v>27522</v>
          </cell>
          <cell r="U372">
            <v>13152</v>
          </cell>
          <cell r="V372">
            <v>38033</v>
          </cell>
          <cell r="W372">
            <v>23903</v>
          </cell>
          <cell r="X372">
            <v>17071</v>
          </cell>
          <cell r="Y372">
            <v>22743</v>
          </cell>
          <cell r="Z372">
            <v>4795</v>
          </cell>
          <cell r="AA372">
            <v>6746</v>
          </cell>
          <cell r="AB372">
            <v>2815</v>
          </cell>
          <cell r="AC372">
            <v>5546</v>
          </cell>
          <cell r="AF372">
            <v>3436</v>
          </cell>
          <cell r="AG372">
            <v>12108</v>
          </cell>
          <cell r="AH372">
            <v>3564</v>
          </cell>
          <cell r="AI372">
            <v>3083</v>
          </cell>
          <cell r="DN372">
            <v>750040</v>
          </cell>
          <cell r="DO372">
            <v>372</v>
          </cell>
        </row>
        <row r="373">
          <cell r="A373" t="str">
            <v>Yakima, WA Metro Area</v>
          </cell>
          <cell r="B373">
            <v>21458</v>
          </cell>
          <cell r="C373">
            <v>20048</v>
          </cell>
          <cell r="D373">
            <v>33010</v>
          </cell>
          <cell r="E373">
            <v>15974</v>
          </cell>
          <cell r="F373">
            <v>16696</v>
          </cell>
          <cell r="G373">
            <v>10234</v>
          </cell>
          <cell r="H373">
            <v>6542</v>
          </cell>
          <cell r="K373">
            <v>8411</v>
          </cell>
          <cell r="M373">
            <v>19385</v>
          </cell>
          <cell r="O373">
            <v>4477</v>
          </cell>
          <cell r="Q373">
            <v>4307</v>
          </cell>
          <cell r="R373">
            <v>4258</v>
          </cell>
          <cell r="S373">
            <v>6668</v>
          </cell>
          <cell r="T373">
            <v>9525</v>
          </cell>
          <cell r="AA373">
            <v>6263</v>
          </cell>
          <cell r="AB373">
            <v>1873</v>
          </cell>
          <cell r="AF373">
            <v>15299</v>
          </cell>
          <cell r="AJ373">
            <v>6614</v>
          </cell>
          <cell r="AM373">
            <v>11538</v>
          </cell>
          <cell r="DN373">
            <v>222580</v>
          </cell>
          <cell r="DO373">
            <v>373</v>
          </cell>
        </row>
        <row r="374">
          <cell r="A374" t="str">
            <v>York-Hanover, PA Metro Area</v>
          </cell>
          <cell r="B374">
            <v>30068</v>
          </cell>
          <cell r="C374">
            <v>27024</v>
          </cell>
          <cell r="D374">
            <v>23889</v>
          </cell>
          <cell r="E374">
            <v>16756</v>
          </cell>
          <cell r="F374">
            <v>34646</v>
          </cell>
          <cell r="G374">
            <v>15088</v>
          </cell>
          <cell r="H374">
            <v>28589</v>
          </cell>
          <cell r="I374">
            <v>26100</v>
          </cell>
          <cell r="J374">
            <v>10712</v>
          </cell>
          <cell r="K374">
            <v>19988</v>
          </cell>
          <cell r="L374">
            <v>3569</v>
          </cell>
          <cell r="M374">
            <v>13617</v>
          </cell>
          <cell r="N374">
            <v>12013</v>
          </cell>
          <cell r="O374">
            <v>23108</v>
          </cell>
          <cell r="P374">
            <v>8809</v>
          </cell>
          <cell r="Q374">
            <v>14333</v>
          </cell>
          <cell r="R374">
            <v>18447</v>
          </cell>
          <cell r="S374">
            <v>19620</v>
          </cell>
          <cell r="T374">
            <v>8862</v>
          </cell>
          <cell r="U374">
            <v>15288</v>
          </cell>
          <cell r="V374">
            <v>3216</v>
          </cell>
          <cell r="W374">
            <v>2895</v>
          </cell>
          <cell r="Z374">
            <v>5151</v>
          </cell>
          <cell r="DN374">
            <v>381788</v>
          </cell>
          <cell r="DO374">
            <v>374</v>
          </cell>
        </row>
        <row r="375">
          <cell r="A375" t="str">
            <v>Youngstown-Warren-Boardman, OH-PA Metro Area</v>
          </cell>
          <cell r="B375">
            <v>3927</v>
          </cell>
          <cell r="C375">
            <v>23493</v>
          </cell>
          <cell r="D375">
            <v>42150</v>
          </cell>
          <cell r="E375">
            <v>51360</v>
          </cell>
          <cell r="F375">
            <v>44843</v>
          </cell>
          <cell r="G375">
            <v>38951</v>
          </cell>
          <cell r="H375">
            <v>43144</v>
          </cell>
          <cell r="I375">
            <v>28187</v>
          </cell>
          <cell r="J375">
            <v>12335</v>
          </cell>
          <cell r="K375">
            <v>4047</v>
          </cell>
          <cell r="L375">
            <v>40846</v>
          </cell>
          <cell r="M375">
            <v>34870</v>
          </cell>
          <cell r="N375">
            <v>20607</v>
          </cell>
          <cell r="O375">
            <v>33743</v>
          </cell>
          <cell r="P375">
            <v>24863</v>
          </cell>
          <cell r="Q375">
            <v>14569</v>
          </cell>
          <cell r="R375">
            <v>18876</v>
          </cell>
          <cell r="S375">
            <v>20531</v>
          </cell>
          <cell r="T375">
            <v>2984</v>
          </cell>
          <cell r="V375">
            <v>3810</v>
          </cell>
          <cell r="W375">
            <v>13388</v>
          </cell>
          <cell r="X375">
            <v>11112</v>
          </cell>
          <cell r="Y375">
            <v>17215</v>
          </cell>
          <cell r="Z375">
            <v>4242</v>
          </cell>
          <cell r="AA375">
            <v>11742</v>
          </cell>
          <cell r="AB375">
            <v>4914</v>
          </cell>
          <cell r="AC375">
            <v>5463</v>
          </cell>
          <cell r="AE375">
            <v>8121</v>
          </cell>
          <cell r="AF375">
            <v>7423</v>
          </cell>
          <cell r="AH375">
            <v>11288</v>
          </cell>
          <cell r="DN375">
            <v>603044</v>
          </cell>
          <cell r="DO375">
            <v>375</v>
          </cell>
        </row>
        <row r="376">
          <cell r="A376" t="str">
            <v>Yuba City, CA Metro Area</v>
          </cell>
          <cell r="B376">
            <v>13524</v>
          </cell>
          <cell r="C376">
            <v>28009</v>
          </cell>
          <cell r="D376">
            <v>13071</v>
          </cell>
          <cell r="E376">
            <v>23639</v>
          </cell>
          <cell r="F376">
            <v>1937</v>
          </cell>
          <cell r="G376">
            <v>10310</v>
          </cell>
          <cell r="H376">
            <v>11246</v>
          </cell>
          <cell r="J376">
            <v>4506</v>
          </cell>
          <cell r="K376">
            <v>6823</v>
          </cell>
          <cell r="M376">
            <v>2212</v>
          </cell>
          <cell r="P376">
            <v>10988</v>
          </cell>
          <cell r="Q376">
            <v>5637</v>
          </cell>
          <cell r="U376">
            <v>2717</v>
          </cell>
          <cell r="AE376">
            <v>4577</v>
          </cell>
          <cell r="DN376">
            <v>139196</v>
          </cell>
          <cell r="DO376">
            <v>376</v>
          </cell>
        </row>
        <row r="377">
          <cell r="A377" t="str">
            <v>Yuma, AZ Metro Area</v>
          </cell>
          <cell r="B377">
            <v>6768</v>
          </cell>
          <cell r="C377">
            <v>18206</v>
          </cell>
          <cell r="D377">
            <v>28337</v>
          </cell>
          <cell r="E377">
            <v>26133</v>
          </cell>
          <cell r="F377">
            <v>4102</v>
          </cell>
          <cell r="G377">
            <v>6532</v>
          </cell>
          <cell r="H377">
            <v>7178</v>
          </cell>
          <cell r="K377">
            <v>7449</v>
          </cell>
          <cell r="L377">
            <v>6427</v>
          </cell>
          <cell r="M377">
            <v>13579</v>
          </cell>
          <cell r="N377">
            <v>2898</v>
          </cell>
          <cell r="O377">
            <v>8942</v>
          </cell>
          <cell r="P377">
            <v>2007</v>
          </cell>
          <cell r="R377">
            <v>1372</v>
          </cell>
          <cell r="S377">
            <v>934</v>
          </cell>
          <cell r="T377">
            <v>12224</v>
          </cell>
          <cell r="AC377">
            <v>3311</v>
          </cell>
          <cell r="AM377">
            <v>1761</v>
          </cell>
          <cell r="AS377">
            <v>12</v>
          </cell>
          <cell r="AT377">
            <v>1823</v>
          </cell>
          <cell r="DN377">
            <v>159995</v>
          </cell>
          <cell r="DO377">
            <v>377</v>
          </cell>
        </row>
      </sheetData>
      <sheetData sheetId="5">
        <row r="5">
          <cell r="A5" t="str">
            <v>Average of all U.S. metro areas</v>
          </cell>
          <cell r="B5">
            <v>6088.1245355803358</v>
          </cell>
          <cell r="C5">
            <v>4933.3708916710957</v>
          </cell>
          <cell r="D5">
            <v>3779.2507573191124</v>
          </cell>
          <cell r="E5">
            <v>3085.2637722428785</v>
          </cell>
          <cell r="F5">
            <v>2528.9221094186623</v>
          </cell>
          <cell r="G5">
            <v>2149.136687639992</v>
          </cell>
          <cell r="H5">
            <v>1803.0400640932803</v>
          </cell>
          <cell r="I5">
            <v>1646.1330245959607</v>
          </cell>
          <cell r="J5">
            <v>1429.4666843591635</v>
          </cell>
          <cell r="K5">
            <v>1481.2060584057951</v>
          </cell>
          <cell r="L5">
            <v>1297.8429156327115</v>
          </cell>
          <cell r="M5">
            <v>1227.9952729053293</v>
          </cell>
          <cell r="N5">
            <v>1090.2460297846137</v>
          </cell>
          <cell r="O5">
            <v>1018.4096301158786</v>
          </cell>
          <cell r="P5">
            <v>925.37936751715324</v>
          </cell>
          <cell r="Q5">
            <v>907.43682540694613</v>
          </cell>
          <cell r="R5">
            <v>868.61177056789643</v>
          </cell>
          <cell r="S5">
            <v>738.48694878560502</v>
          </cell>
          <cell r="T5">
            <v>630.0908799344661</v>
          </cell>
          <cell r="U5">
            <v>578.36544048035876</v>
          </cell>
          <cell r="V5">
            <v>534.5759434604347</v>
          </cell>
          <cell r="W5">
            <v>511.04450908956886</v>
          </cell>
          <cell r="X5">
            <v>513.43601297208681</v>
          </cell>
          <cell r="Y5">
            <v>513.90313171302364</v>
          </cell>
          <cell r="Z5">
            <v>464.70683145816196</v>
          </cell>
          <cell r="AA5">
            <v>435.08972476400521</v>
          </cell>
          <cell r="AB5">
            <v>389.62517951904056</v>
          </cell>
          <cell r="AC5">
            <v>415.04150305374679</v>
          </cell>
          <cell r="AD5">
            <v>343.75085495982887</v>
          </cell>
          <cell r="AE5">
            <v>376.10434962019036</v>
          </cell>
          <cell r="AF5">
            <v>296.76416010497161</v>
          </cell>
          <cell r="AG5">
            <v>231.56286387818847</v>
          </cell>
          <cell r="AH5">
            <v>265.92087976385773</v>
          </cell>
          <cell r="AI5">
            <v>267.88812435865924</v>
          </cell>
          <cell r="AJ5">
            <v>223.35340980679507</v>
          </cell>
          <cell r="AK5">
            <v>202.14301130385599</v>
          </cell>
          <cell r="AL5">
            <v>221.02403679295819</v>
          </cell>
          <cell r="AM5">
            <v>207.31351260264401</v>
          </cell>
          <cell r="AN5">
            <v>148.54493171938304</v>
          </cell>
          <cell r="AO5">
            <v>125.00738492087507</v>
          </cell>
          <cell r="AP5">
            <v>96.776998315082281</v>
          </cell>
          <cell r="AQ5">
            <v>100.84028214062157</v>
          </cell>
          <cell r="AR5">
            <v>92.276950260940751</v>
          </cell>
          <cell r="AS5">
            <v>104.70953580636507</v>
          </cell>
          <cell r="AT5">
            <v>108.41904289596242</v>
          </cell>
          <cell r="AU5">
            <v>100.64007072675564</v>
          </cell>
          <cell r="AV5">
            <v>111.64884590403683</v>
          </cell>
          <cell r="AW5">
            <v>67.795577423478463</v>
          </cell>
          <cell r="AX5">
            <v>53.916388630916671</v>
          </cell>
          <cell r="AY5">
            <v>78.176498475045207</v>
          </cell>
          <cell r="AZ5">
            <v>73.139139224849856</v>
          </cell>
          <cell r="BA5">
            <v>89.787986451411768</v>
          </cell>
          <cell r="BB5">
            <v>65.373875907214682</v>
          </cell>
          <cell r="BC5">
            <v>72.142675774371781</v>
          </cell>
          <cell r="BD5">
            <v>60.506453772712071</v>
          </cell>
          <cell r="BE5">
            <v>51.050046889496997</v>
          </cell>
          <cell r="BF5">
            <v>93.870965501106099</v>
          </cell>
          <cell r="BG5">
            <v>78.025461162347497</v>
          </cell>
          <cell r="BH5">
            <v>50.810234712823416</v>
          </cell>
          <cell r="BI5">
            <v>52.785220714242783</v>
          </cell>
          <cell r="BJ5">
            <v>28.407792394884254</v>
          </cell>
          <cell r="BK5">
            <v>30.532261089897421</v>
          </cell>
          <cell r="BL5">
            <v>32.217563745843599</v>
          </cell>
          <cell r="BM5">
            <v>29.831121553526717</v>
          </cell>
          <cell r="BN5">
            <v>27.598232844641583</v>
          </cell>
          <cell r="BO5">
            <v>21.963557007763701</v>
          </cell>
          <cell r="BP5">
            <v>22.03929676190376</v>
          </cell>
          <cell r="BQ5">
            <v>25.676582872298738</v>
          </cell>
          <cell r="BR5">
            <v>27.718017209970032</v>
          </cell>
          <cell r="BS5">
            <v>23.365045558292078</v>
          </cell>
          <cell r="BT5">
            <v>15.171094854845474</v>
          </cell>
          <cell r="BU5">
            <v>35.808828116023847</v>
          </cell>
          <cell r="BV5">
            <v>23.79906813550307</v>
          </cell>
          <cell r="BW5">
            <v>16.971495541386474</v>
          </cell>
          <cell r="BX5">
            <v>14.131530272873135</v>
          </cell>
          <cell r="BY5">
            <v>18.421157047911066</v>
          </cell>
          <cell r="BZ5">
            <v>16.854643063774422</v>
          </cell>
          <cell r="CA5">
            <v>28.644369446662765</v>
          </cell>
          <cell r="CB5">
            <v>14.963239827119745</v>
          </cell>
          <cell r="CC5">
            <v>6.3966986671262758</v>
          </cell>
          <cell r="CD5">
            <v>3.7994914782672109</v>
          </cell>
          <cell r="CE5">
            <v>10.52639998738495</v>
          </cell>
          <cell r="CF5">
            <v>8.2363732761999717</v>
          </cell>
          <cell r="CG5">
            <v>12.282681389591637</v>
          </cell>
          <cell r="CH5">
            <v>18.301272712731269</v>
          </cell>
          <cell r="CI5">
            <v>13.795363207882479</v>
          </cell>
          <cell r="CJ5">
            <v>3.5678289617486336</v>
          </cell>
          <cell r="CK5">
            <v>2.2097967149804885</v>
          </cell>
          <cell r="CL5">
            <v>0.77404672131147545</v>
          </cell>
          <cell r="CM5">
            <v>6.2453822404371593</v>
          </cell>
          <cell r="CN5">
            <v>1.0210625415909906</v>
          </cell>
          <cell r="CO5">
            <v>4.9669959016393443</v>
          </cell>
          <cell r="CP5">
            <v>0.71346639344262286</v>
          </cell>
          <cell r="CQ5">
            <v>3.8029196721311478</v>
          </cell>
          <cell r="CR5">
            <v>0.3532273224043716</v>
          </cell>
          <cell r="CS5">
            <v>0.70286174863387985</v>
          </cell>
          <cell r="CT5">
            <v>0.6546199453551913</v>
          </cell>
          <cell r="CU5">
            <v>1.183190110769003</v>
          </cell>
          <cell r="CV5">
            <v>0.47752103825136616</v>
          </cell>
          <cell r="CW5">
            <v>0.49774535519125679</v>
          </cell>
          <cell r="CX5">
            <v>0.86084918032786895</v>
          </cell>
          <cell r="CY5">
            <v>4.3800546448087433E-3</v>
          </cell>
          <cell r="CZ5">
            <v>1.9939890710382515E-3</v>
          </cell>
          <cell r="DA5">
            <v>1.4661202185792348E-3</v>
          </cell>
          <cell r="DB5">
            <v>8.0845404371584699</v>
          </cell>
          <cell r="DC5">
            <v>4.754207650273224E-2</v>
          </cell>
          <cell r="DD5">
            <v>4.572627669972154</v>
          </cell>
          <cell r="DE5">
            <v>6.3918459764227409</v>
          </cell>
          <cell r="DF5">
            <v>9.169344262295083E-2</v>
          </cell>
          <cell r="DG5">
            <v>1.6539344262295082E-2</v>
          </cell>
          <cell r="DH5">
            <v>0.19293469945355193</v>
          </cell>
          <cell r="DI5">
            <v>1.6516393442622952E-3</v>
          </cell>
          <cell r="DJ5">
            <v>9.5935519125683058E-2</v>
          </cell>
          <cell r="DK5">
            <v>5.859016393442623E-3</v>
          </cell>
          <cell r="DL5">
            <v>0</v>
          </cell>
          <cell r="DO5">
            <v>5</v>
          </cell>
        </row>
        <row r="6">
          <cell r="A6" t="str">
            <v>Average of U.S. metro areas of 5,000,000 or more</v>
          </cell>
          <cell r="B6">
            <v>26120.329053321253</v>
          </cell>
          <cell r="C6">
            <v>24975.76641043476</v>
          </cell>
          <cell r="D6">
            <v>22104.508164046845</v>
          </cell>
          <cell r="E6">
            <v>19226.754199610219</v>
          </cell>
          <cell r="F6">
            <v>19592.163170236701</v>
          </cell>
          <cell r="G6">
            <v>18671.631199278378</v>
          </cell>
          <cell r="H6">
            <v>16384.734447129602</v>
          </cell>
          <cell r="I6">
            <v>15972.280549178968</v>
          </cell>
          <cell r="J6">
            <v>12829.697131882645</v>
          </cell>
          <cell r="K6">
            <v>12719.729179720498</v>
          </cell>
          <cell r="L6">
            <v>11227.252842224894</v>
          </cell>
          <cell r="M6">
            <v>11270.512352160456</v>
          </cell>
          <cell r="N6">
            <v>9729.1628171493994</v>
          </cell>
          <cell r="O6">
            <v>7844.3558908443747</v>
          </cell>
          <cell r="P6">
            <v>7067.4181906699023</v>
          </cell>
          <cell r="Q6">
            <v>6616.2443721316977</v>
          </cell>
          <cell r="R6">
            <v>5907.6116557611849</v>
          </cell>
          <cell r="S6">
            <v>5895.8268335595876</v>
          </cell>
          <cell r="T6">
            <v>5117.8137002905014</v>
          </cell>
          <cell r="U6">
            <v>5428.7564789186754</v>
          </cell>
          <cell r="V6">
            <v>4927.4963663178805</v>
          </cell>
          <cell r="W6">
            <v>4236.5106251459747</v>
          </cell>
          <cell r="X6">
            <v>4285.8003344600993</v>
          </cell>
          <cell r="Y6">
            <v>3794.3965601076279</v>
          </cell>
          <cell r="Z6">
            <v>4016.8101810858279</v>
          </cell>
          <cell r="AA6">
            <v>3973.195604523351</v>
          </cell>
          <cell r="AB6">
            <v>3640.5032533387066</v>
          </cell>
          <cell r="AC6">
            <v>3648.3617256692087</v>
          </cell>
          <cell r="AD6">
            <v>3496.7802248190342</v>
          </cell>
          <cell r="AE6">
            <v>3947.180745086247</v>
          </cell>
          <cell r="AF6">
            <v>3406.8522941260267</v>
          </cell>
          <cell r="AG6">
            <v>3431.3030212786575</v>
          </cell>
          <cell r="AH6">
            <v>3336.2887186428557</v>
          </cell>
          <cell r="AI6">
            <v>3392.4152772664524</v>
          </cell>
          <cell r="AJ6">
            <v>3402.7824475364641</v>
          </cell>
          <cell r="AK6">
            <v>2857.4226815709067</v>
          </cell>
          <cell r="AL6">
            <v>2934.2122963977627</v>
          </cell>
          <cell r="AM6">
            <v>2732.2505747018104</v>
          </cell>
          <cell r="AN6">
            <v>2065.8335979144254</v>
          </cell>
          <cell r="AO6">
            <v>1925.4498449699879</v>
          </cell>
          <cell r="AP6">
            <v>1544.6760485872735</v>
          </cell>
          <cell r="AQ6">
            <v>1964.6910784891952</v>
          </cell>
          <cell r="AR6">
            <v>2024.9826101289607</v>
          </cell>
          <cell r="AS6">
            <v>2074.504857136023</v>
          </cell>
          <cell r="AT6">
            <v>2257.5388649717652</v>
          </cell>
          <cell r="AU6">
            <v>1664.5905855439401</v>
          </cell>
          <cell r="AV6">
            <v>2119.2034584968519</v>
          </cell>
          <cell r="AW6">
            <v>1866.4949292600602</v>
          </cell>
          <cell r="AX6">
            <v>1613.5300541711638</v>
          </cell>
          <cell r="AY6">
            <v>1719.3118150787111</v>
          </cell>
          <cell r="AZ6">
            <v>1967.4310398178395</v>
          </cell>
          <cell r="BA6">
            <v>2067.1527168787716</v>
          </cell>
          <cell r="BB6">
            <v>1396.7199194402103</v>
          </cell>
          <cell r="BC6">
            <v>1074.440608203817</v>
          </cell>
          <cell r="BD6">
            <v>1130.4652538835894</v>
          </cell>
          <cell r="BE6">
            <v>959.17178229722367</v>
          </cell>
          <cell r="BF6">
            <v>1574.7869230874712</v>
          </cell>
          <cell r="BG6">
            <v>1631.0095950928946</v>
          </cell>
          <cell r="BH6">
            <v>1583.0331630261176</v>
          </cell>
          <cell r="BI6">
            <v>1116.522122165981</v>
          </cell>
          <cell r="BJ6">
            <v>729.74969763952856</v>
          </cell>
          <cell r="BK6">
            <v>905.22554946268474</v>
          </cell>
          <cell r="BL6">
            <v>960.21678359488737</v>
          </cell>
          <cell r="BM6">
            <v>945.88162671299585</v>
          </cell>
          <cell r="BN6">
            <v>664.21905204093116</v>
          </cell>
          <cell r="BO6">
            <v>407.789214275554</v>
          </cell>
          <cell r="BP6">
            <v>561.71367547192358</v>
          </cell>
          <cell r="BQ6">
            <v>470.69707821841052</v>
          </cell>
          <cell r="BR6">
            <v>624.11382989913068</v>
          </cell>
          <cell r="BS6">
            <v>312.15795618940643</v>
          </cell>
          <cell r="BT6">
            <v>454.68890890450149</v>
          </cell>
          <cell r="BU6">
            <v>626.4554449692788</v>
          </cell>
          <cell r="BV6">
            <v>326.44326795895699</v>
          </cell>
          <cell r="BW6">
            <v>256.10232979416111</v>
          </cell>
          <cell r="BX6">
            <v>417.92477554128538</v>
          </cell>
          <cell r="BY6">
            <v>505.11128661505012</v>
          </cell>
          <cell r="BZ6">
            <v>398.29958370679662</v>
          </cell>
          <cell r="CA6">
            <v>639.78685065734362</v>
          </cell>
          <cell r="CB6">
            <v>288.07259741398082</v>
          </cell>
          <cell r="CC6">
            <v>254.66485594416221</v>
          </cell>
          <cell r="CD6">
            <v>140.25007972596148</v>
          </cell>
          <cell r="CE6">
            <v>383.77491059809904</v>
          </cell>
          <cell r="CF6">
            <v>312.89018637541108</v>
          </cell>
          <cell r="CG6">
            <v>347.22977560990762</v>
          </cell>
          <cell r="CH6">
            <v>441.57573024629357</v>
          </cell>
          <cell r="CI6">
            <v>380.33589821160911</v>
          </cell>
          <cell r="CJ6">
            <v>0</v>
          </cell>
          <cell r="CK6">
            <v>0</v>
          </cell>
          <cell r="CL6">
            <v>31.064333333333334</v>
          </cell>
          <cell r="CM6">
            <v>253.9788777777778</v>
          </cell>
          <cell r="CN6">
            <v>19.174354469144728</v>
          </cell>
          <cell r="CO6">
            <v>61.301711111111118</v>
          </cell>
          <cell r="CP6">
            <v>27.99571111111111</v>
          </cell>
          <cell r="CQ6">
            <v>0</v>
          </cell>
          <cell r="CR6">
            <v>0</v>
          </cell>
          <cell r="CS6">
            <v>28.583044444444447</v>
          </cell>
          <cell r="CT6">
            <v>25.259433333333334</v>
          </cell>
          <cell r="CU6">
            <v>47.624620060161682</v>
          </cell>
          <cell r="CV6">
            <v>0</v>
          </cell>
          <cell r="CW6">
            <v>19.986655555555551</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O6">
            <v>6</v>
          </cell>
        </row>
        <row r="7">
          <cell r="A7" t="str">
            <v>Average of U.S. metro areas of 2,500,000 to 4,999,999</v>
          </cell>
          <cell r="B7">
            <v>18013.856825719438</v>
          </cell>
          <cell r="C7">
            <v>13785.468900278189</v>
          </cell>
          <cell r="D7">
            <v>10635.084826097633</v>
          </cell>
          <cell r="E7">
            <v>9725.0814183200182</v>
          </cell>
          <cell r="F7">
            <v>9163.9300708019764</v>
          </cell>
          <cell r="G7">
            <v>7722.0574956883784</v>
          </cell>
          <cell r="H7">
            <v>6664.0775497176664</v>
          </cell>
          <cell r="I7">
            <v>6042.2254632204713</v>
          </cell>
          <cell r="J7">
            <v>6165.6045879403164</v>
          </cell>
          <cell r="K7">
            <v>6130.1343199294679</v>
          </cell>
          <cell r="L7">
            <v>5451.9003212095877</v>
          </cell>
          <cell r="M7">
            <v>5155.4458605129894</v>
          </cell>
          <cell r="N7">
            <v>4397.6299362515119</v>
          </cell>
          <cell r="O7">
            <v>4725.2216371977511</v>
          </cell>
          <cell r="P7">
            <v>3994.6346476042017</v>
          </cell>
          <cell r="Q7">
            <v>3773.1674295454995</v>
          </cell>
          <cell r="R7">
            <v>3568.9556342151022</v>
          </cell>
          <cell r="S7">
            <v>3675.2363884746287</v>
          </cell>
          <cell r="T7">
            <v>3304.8123907855493</v>
          </cell>
          <cell r="U7">
            <v>3241.6170958035768</v>
          </cell>
          <cell r="V7">
            <v>3192.5208942185359</v>
          </cell>
          <cell r="W7">
            <v>2459.7864279955456</v>
          </cell>
          <cell r="X7">
            <v>2618.166117853903</v>
          </cell>
          <cell r="Y7">
            <v>3447.835876783663</v>
          </cell>
          <cell r="Z7">
            <v>2902.8484058853587</v>
          </cell>
          <cell r="AA7">
            <v>2567.0834566645258</v>
          </cell>
          <cell r="AB7">
            <v>2477.4479225211967</v>
          </cell>
          <cell r="AC7">
            <v>2525.2613292878236</v>
          </cell>
          <cell r="AD7">
            <v>2260.0850215468363</v>
          </cell>
          <cell r="AE7">
            <v>2866.6789839270673</v>
          </cell>
          <cell r="AF7">
            <v>2076.2028024693818</v>
          </cell>
          <cell r="AG7">
            <v>1573.4722779401234</v>
          </cell>
          <cell r="AH7">
            <v>1945.9766789758087</v>
          </cell>
          <cell r="AI7">
            <v>2029.3342919049185</v>
          </cell>
          <cell r="AJ7">
            <v>1885.4471510355136</v>
          </cell>
          <cell r="AK7">
            <v>1780.3983765269024</v>
          </cell>
          <cell r="AL7">
            <v>1508.8676946720682</v>
          </cell>
          <cell r="AM7">
            <v>1427.7478700514673</v>
          </cell>
          <cell r="AN7">
            <v>1376.4068819704326</v>
          </cell>
          <cell r="AO7">
            <v>845.37136431941974</v>
          </cell>
          <cell r="AP7">
            <v>625.95402264825441</v>
          </cell>
          <cell r="AQ7">
            <v>640.43620823217077</v>
          </cell>
          <cell r="AR7">
            <v>418.00969240911104</v>
          </cell>
          <cell r="AS7">
            <v>344.76121304910271</v>
          </cell>
          <cell r="AT7">
            <v>307.41512465038579</v>
          </cell>
          <cell r="AU7">
            <v>735.33639304339169</v>
          </cell>
          <cell r="AV7">
            <v>443.66264722710503</v>
          </cell>
          <cell r="AW7">
            <v>167.68311472411617</v>
          </cell>
          <cell r="AX7">
            <v>319.23148098196884</v>
          </cell>
          <cell r="AY7">
            <v>483.53639045371256</v>
          </cell>
          <cell r="AZ7">
            <v>408.74040002850484</v>
          </cell>
          <cell r="BA7">
            <v>570.56339860811431</v>
          </cell>
          <cell r="BB7">
            <v>491.08844756355205</v>
          </cell>
          <cell r="BC7">
            <v>897.99829463011065</v>
          </cell>
          <cell r="BD7">
            <v>543.59684241370496</v>
          </cell>
          <cell r="BE7">
            <v>154.37649154388998</v>
          </cell>
          <cell r="BF7">
            <v>417.6415958140405</v>
          </cell>
          <cell r="BG7">
            <v>229.58949093424167</v>
          </cell>
          <cell r="BH7">
            <v>159.83553644441511</v>
          </cell>
          <cell r="BI7">
            <v>394.90222817033879</v>
          </cell>
          <cell r="BJ7">
            <v>202.07394481432331</v>
          </cell>
          <cell r="BK7">
            <v>141.19797614485768</v>
          </cell>
          <cell r="BL7">
            <v>152.94171488539757</v>
          </cell>
          <cell r="BM7">
            <v>200.05372068115128</v>
          </cell>
          <cell r="BN7">
            <v>342.42122939753654</v>
          </cell>
          <cell r="BO7">
            <v>362.15368636346074</v>
          </cell>
          <cell r="BP7">
            <v>249.92149463412204</v>
          </cell>
          <cell r="BQ7">
            <v>428.45110227463692</v>
          </cell>
          <cell r="BR7">
            <v>340.37323640094729</v>
          </cell>
          <cell r="BS7">
            <v>476.80324738585347</v>
          </cell>
          <cell r="BT7">
            <v>121.70171139441084</v>
          </cell>
          <cell r="BU7">
            <v>504.55352381176812</v>
          </cell>
          <cell r="BV7">
            <v>387.82909006790766</v>
          </cell>
          <cell r="BW7">
            <v>13.937508333333334</v>
          </cell>
          <cell r="BX7">
            <v>74.295591666666667</v>
          </cell>
          <cell r="BY7">
            <v>6.1813583333333328</v>
          </cell>
          <cell r="BZ7">
            <v>40.413392331689046</v>
          </cell>
          <cell r="CA7">
            <v>0.75541666666666663</v>
          </cell>
          <cell r="CB7">
            <v>0</v>
          </cell>
          <cell r="CC7">
            <v>0</v>
          </cell>
          <cell r="CD7">
            <v>0</v>
          </cell>
          <cell r="CE7">
            <v>0.18259999999999998</v>
          </cell>
          <cell r="CF7">
            <v>11.323916666666667</v>
          </cell>
          <cell r="CG7">
            <v>0</v>
          </cell>
          <cell r="CH7">
            <v>0</v>
          </cell>
          <cell r="CI7">
            <v>0</v>
          </cell>
          <cell r="CJ7">
            <v>4.5841666666666669E-2</v>
          </cell>
          <cell r="CK7">
            <v>0</v>
          </cell>
          <cell r="CL7">
            <v>0</v>
          </cell>
          <cell r="CM7">
            <v>0</v>
          </cell>
          <cell r="CN7">
            <v>0</v>
          </cell>
          <cell r="CO7">
            <v>0</v>
          </cell>
          <cell r="CP7">
            <v>0.76394166666666663</v>
          </cell>
          <cell r="CQ7">
            <v>115.98905000000001</v>
          </cell>
          <cell r="CR7">
            <v>10.773433333333335</v>
          </cell>
          <cell r="CS7">
            <v>0</v>
          </cell>
          <cell r="CT7">
            <v>1.0213333333333334</v>
          </cell>
          <cell r="CU7">
            <v>0</v>
          </cell>
          <cell r="CV7">
            <v>14.279850000000001</v>
          </cell>
          <cell r="CW7">
            <v>0</v>
          </cell>
          <cell r="CX7">
            <v>0</v>
          </cell>
          <cell r="CY7">
            <v>0.13359166666666666</v>
          </cell>
          <cell r="CZ7">
            <v>0</v>
          </cell>
          <cell r="DA7">
            <v>4.4716666666666662E-2</v>
          </cell>
          <cell r="DB7">
            <v>246.57848333333334</v>
          </cell>
          <cell r="DC7">
            <v>1.4500333333333335</v>
          </cell>
          <cell r="DD7">
            <v>139.46514393415069</v>
          </cell>
          <cell r="DE7">
            <v>194.9513022808936</v>
          </cell>
          <cell r="DF7">
            <v>2.7966500000000001</v>
          </cell>
          <cell r="DG7">
            <v>0.50444999999999995</v>
          </cell>
          <cell r="DH7">
            <v>5.8845083333333337</v>
          </cell>
          <cell r="DI7">
            <v>5.0375000000000003E-2</v>
          </cell>
          <cell r="DJ7">
            <v>2.9260333333333333</v>
          </cell>
          <cell r="DK7">
            <v>0</v>
          </cell>
          <cell r="DL7">
            <v>0</v>
          </cell>
          <cell r="DO7">
            <v>7</v>
          </cell>
        </row>
        <row r="8">
          <cell r="A8" t="str">
            <v>Average of U.S. metro areas of 1,000,000 to 2,499,999</v>
          </cell>
          <cell r="B8">
            <v>7617.5650762576615</v>
          </cell>
          <cell r="C8">
            <v>7171.7439856600049</v>
          </cell>
          <cell r="D8">
            <v>6358.0226088604704</v>
          </cell>
          <cell r="E8">
            <v>5343.1160838335718</v>
          </cell>
          <cell r="F8">
            <v>5115.0688477213298</v>
          </cell>
          <cell r="G8">
            <v>4602.6085470524358</v>
          </cell>
          <cell r="H8">
            <v>4126.9953709615256</v>
          </cell>
          <cell r="I8">
            <v>3752.6558200340251</v>
          </cell>
          <cell r="J8">
            <v>3440.6280379103159</v>
          </cell>
          <cell r="K8">
            <v>3237.5785734356245</v>
          </cell>
          <cell r="L8">
            <v>3156.0191654799428</v>
          </cell>
          <cell r="M8">
            <v>2868.6970594092709</v>
          </cell>
          <cell r="N8">
            <v>2808.2341862378426</v>
          </cell>
          <cell r="O8">
            <v>2494.2878202778488</v>
          </cell>
          <cell r="P8">
            <v>2084.5246968778115</v>
          </cell>
          <cell r="Q8">
            <v>2148.0879962444728</v>
          </cell>
          <cell r="R8">
            <v>2469.8595893473384</v>
          </cell>
          <cell r="S8">
            <v>1811.5668556888238</v>
          </cell>
          <cell r="T8">
            <v>1522.3127415491183</v>
          </cell>
          <cell r="U8">
            <v>1166.965621924501</v>
          </cell>
          <cell r="V8">
            <v>1086.7385396167622</v>
          </cell>
          <cell r="W8">
            <v>1272.2615319711335</v>
          </cell>
          <cell r="X8">
            <v>829.66516629007174</v>
          </cell>
          <cell r="Y8">
            <v>866.51628058984477</v>
          </cell>
          <cell r="Z8">
            <v>811.09136026669864</v>
          </cell>
          <cell r="AA8">
            <v>1002.5839403499413</v>
          </cell>
          <cell r="AB8">
            <v>808.81625374444525</v>
          </cell>
          <cell r="AC8">
            <v>1505.304032732671</v>
          </cell>
          <cell r="AD8">
            <v>1090.8903077148223</v>
          </cell>
          <cell r="AE8">
            <v>1005.9760412768154</v>
          </cell>
          <cell r="AF8">
            <v>708.85194200653814</v>
          </cell>
          <cell r="AG8">
            <v>526.67173629776084</v>
          </cell>
          <cell r="AH8">
            <v>618.94782069503651</v>
          </cell>
          <cell r="AI8">
            <v>474.14285567182202</v>
          </cell>
          <cell r="AJ8">
            <v>281.43033390912132</v>
          </cell>
          <cell r="AK8">
            <v>379.86999623171107</v>
          </cell>
          <cell r="AL8">
            <v>491.40237607266499</v>
          </cell>
          <cell r="AM8">
            <v>444.42447600039407</v>
          </cell>
          <cell r="AN8">
            <v>297.23213975745733</v>
          </cell>
          <cell r="AO8">
            <v>442.39747923680113</v>
          </cell>
          <cell r="AP8">
            <v>224.10209635186706</v>
          </cell>
          <cell r="AQ8">
            <v>162.69092612253544</v>
          </cell>
          <cell r="AR8">
            <v>197.41248211900879</v>
          </cell>
          <cell r="AS8">
            <v>342.41090377238288</v>
          </cell>
          <cell r="AT8">
            <v>314.29886318998808</v>
          </cell>
          <cell r="AU8">
            <v>21.874112022677412</v>
          </cell>
          <cell r="AV8">
            <v>128.22148789455241</v>
          </cell>
          <cell r="AW8">
            <v>37.409825946119874</v>
          </cell>
          <cell r="AX8">
            <v>19.451564449763033</v>
          </cell>
          <cell r="AY8">
            <v>72.407806183410941</v>
          </cell>
          <cell r="AZ8">
            <v>70.199701656615559</v>
          </cell>
          <cell r="BA8">
            <v>74.133297468816906</v>
          </cell>
          <cell r="BB8">
            <v>18.034557430119033</v>
          </cell>
          <cell r="BC8">
            <v>25.432522153952885</v>
          </cell>
          <cell r="BD8">
            <v>28.839373672377715</v>
          </cell>
          <cell r="BE8">
            <v>1.1376040097040272</v>
          </cell>
          <cell r="BF8">
            <v>11.648069999999999</v>
          </cell>
          <cell r="BG8">
            <v>0</v>
          </cell>
          <cell r="BH8">
            <v>9.172860726764501</v>
          </cell>
          <cell r="BI8">
            <v>13.453396666666666</v>
          </cell>
          <cell r="BJ8">
            <v>0</v>
          </cell>
          <cell r="BK8">
            <v>5.4288733333333328</v>
          </cell>
          <cell r="BL8">
            <v>0</v>
          </cell>
          <cell r="BM8">
            <v>0</v>
          </cell>
          <cell r="BN8">
            <v>0</v>
          </cell>
          <cell r="BO8">
            <v>0.15786</v>
          </cell>
          <cell r="BP8">
            <v>0</v>
          </cell>
          <cell r="BQ8">
            <v>0.56576666666666664</v>
          </cell>
          <cell r="BR8">
            <v>2.3259999999999999E-2</v>
          </cell>
          <cell r="BS8">
            <v>0.46385666666666669</v>
          </cell>
          <cell r="BT8">
            <v>0</v>
          </cell>
          <cell r="BU8">
            <v>47.109659999999998</v>
          </cell>
          <cell r="BV8">
            <v>36.965420342357426</v>
          </cell>
          <cell r="BW8">
            <v>123.89129333333334</v>
          </cell>
          <cell r="BX8">
            <v>17.307533333333332</v>
          </cell>
          <cell r="BY8">
            <v>70.732186666666664</v>
          </cell>
          <cell r="BZ8">
            <v>0</v>
          </cell>
          <cell r="CA8">
            <v>64.624646357452065</v>
          </cell>
          <cell r="CB8">
            <v>0</v>
          </cell>
          <cell r="CC8">
            <v>0.99257362235855484</v>
          </cell>
          <cell r="CD8">
            <v>0.92094545040485842</v>
          </cell>
          <cell r="CE8">
            <v>13.216566666666667</v>
          </cell>
          <cell r="CF8">
            <v>2.01645805701633</v>
          </cell>
          <cell r="CG8">
            <v>45.679780270045697</v>
          </cell>
          <cell r="CH8">
            <v>90.802808021433435</v>
          </cell>
          <cell r="CI8">
            <v>54.202661672683512</v>
          </cell>
          <cell r="CJ8">
            <v>43.472376666666669</v>
          </cell>
          <cell r="CK8">
            <v>26.95951992276196</v>
          </cell>
          <cell r="CL8">
            <v>0</v>
          </cell>
          <cell r="CM8">
            <v>0</v>
          </cell>
          <cell r="CN8">
            <v>6.7046566666666667</v>
          </cell>
          <cell r="CO8">
            <v>42.206836666666661</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O8">
            <v>8</v>
          </cell>
        </row>
        <row r="9">
          <cell r="A9" t="str">
            <v>Average of U.S. metro areas of 500,000 to 999,999</v>
          </cell>
          <cell r="B9">
            <v>7501.6277712249876</v>
          </cell>
          <cell r="C9">
            <v>5758.9977744815324</v>
          </cell>
          <cell r="D9">
            <v>4463.0644611085854</v>
          </cell>
          <cell r="E9">
            <v>3807.0816723050339</v>
          </cell>
          <cell r="F9">
            <v>3300.9931449586938</v>
          </cell>
          <cell r="G9">
            <v>2617.1750126732177</v>
          </cell>
          <cell r="H9">
            <v>2341.7342475120304</v>
          </cell>
          <cell r="I9">
            <v>2292.0072090444601</v>
          </cell>
          <cell r="J9">
            <v>2142.1325622345803</v>
          </cell>
          <cell r="K9">
            <v>1950.4672679247853</v>
          </cell>
          <cell r="L9">
            <v>1958.5225098626977</v>
          </cell>
          <cell r="M9">
            <v>1896.987508925894</v>
          </cell>
          <cell r="N9">
            <v>1651.9774777267737</v>
          </cell>
          <cell r="O9">
            <v>1525.6396212753368</v>
          </cell>
          <cell r="P9">
            <v>1432.1338611083659</v>
          </cell>
          <cell r="Q9">
            <v>1454.8709886999784</v>
          </cell>
          <cell r="R9">
            <v>1175.3715673933734</v>
          </cell>
          <cell r="S9">
            <v>1062.5976765068976</v>
          </cell>
          <cell r="T9">
            <v>920.24042045795534</v>
          </cell>
          <cell r="U9">
            <v>974.44123032529183</v>
          </cell>
          <cell r="V9">
            <v>923.13438379832132</v>
          </cell>
          <cell r="W9">
            <v>753.2257511156381</v>
          </cell>
          <cell r="X9">
            <v>892.63855505713286</v>
          </cell>
          <cell r="Y9">
            <v>806.27533182006073</v>
          </cell>
          <cell r="Z9">
            <v>651.75117608079631</v>
          </cell>
          <cell r="AA9">
            <v>691.72484345084229</v>
          </cell>
          <cell r="AB9">
            <v>606.65983026410413</v>
          </cell>
          <cell r="AC9">
            <v>656.23742348129554</v>
          </cell>
          <cell r="AD9">
            <v>527.04319371943507</v>
          </cell>
          <cell r="AE9">
            <v>539.33853632142086</v>
          </cell>
          <cell r="AF9">
            <v>368.96227683883262</v>
          </cell>
          <cell r="AG9">
            <v>290.98570127496481</v>
          </cell>
          <cell r="AH9">
            <v>336.02374454578148</v>
          </cell>
          <cell r="AI9">
            <v>261.2456160912277</v>
          </cell>
          <cell r="AJ9">
            <v>327.80905210875767</v>
          </cell>
          <cell r="AK9">
            <v>241.02596329138592</v>
          </cell>
          <cell r="AL9">
            <v>209.23106840336169</v>
          </cell>
          <cell r="AM9">
            <v>258.41221302651201</v>
          </cell>
          <cell r="AN9">
            <v>124.05201087787147</v>
          </cell>
          <cell r="AO9">
            <v>85.042022332017297</v>
          </cell>
          <cell r="AP9">
            <v>110.24001728665419</v>
          </cell>
          <cell r="AQ9">
            <v>110.91554656083561</v>
          </cell>
          <cell r="AR9">
            <v>67.473596625169165</v>
          </cell>
          <cell r="AS9">
            <v>43.621813725490199</v>
          </cell>
          <cell r="AT9">
            <v>103.14940807531408</v>
          </cell>
          <cell r="AU9">
            <v>118.53572044686551</v>
          </cell>
          <cell r="AV9">
            <v>26.297710577924242</v>
          </cell>
          <cell r="AW9">
            <v>2.3299176470588239</v>
          </cell>
          <cell r="AX9">
            <v>2.6278871784022444</v>
          </cell>
          <cell r="AY9">
            <v>94.018274509803931</v>
          </cell>
          <cell r="AZ9">
            <v>5.9692713631560412</v>
          </cell>
          <cell r="BA9">
            <v>0.30693725490196078</v>
          </cell>
          <cell r="BB9">
            <v>31.023999776354742</v>
          </cell>
          <cell r="BC9">
            <v>0</v>
          </cell>
          <cell r="BD9">
            <v>0</v>
          </cell>
          <cell r="BE9">
            <v>0</v>
          </cell>
          <cell r="BF9">
            <v>0.80031372549019597</v>
          </cell>
          <cell r="BG9">
            <v>0</v>
          </cell>
          <cell r="BH9">
            <v>3.6994117647058823E-2</v>
          </cell>
          <cell r="BI9">
            <v>26.855497223007042</v>
          </cell>
          <cell r="BJ9">
            <v>27.541517647058825</v>
          </cell>
          <cell r="BK9">
            <v>1.1579999999999999</v>
          </cell>
          <cell r="BL9">
            <v>23.499152941176469</v>
          </cell>
          <cell r="BM9">
            <v>3.8096078431372547E-2</v>
          </cell>
          <cell r="BN9">
            <v>0</v>
          </cell>
          <cell r="BO9">
            <v>0.12876078431372548</v>
          </cell>
          <cell r="BP9">
            <v>0</v>
          </cell>
          <cell r="BQ9">
            <v>4.8501960784313722E-2</v>
          </cell>
          <cell r="BR9">
            <v>0.12974509803921569</v>
          </cell>
          <cell r="BS9">
            <v>7.6300000000000007E-2</v>
          </cell>
          <cell r="BT9">
            <v>0</v>
          </cell>
          <cell r="BU9">
            <v>0</v>
          </cell>
          <cell r="BV9">
            <v>0</v>
          </cell>
          <cell r="BW9">
            <v>0.44426470588235289</v>
          </cell>
          <cell r="BX9">
            <v>0</v>
          </cell>
          <cell r="BY9">
            <v>0</v>
          </cell>
          <cell r="BZ9">
            <v>41.159654901960785</v>
          </cell>
          <cell r="CA9">
            <v>54.434781781155237</v>
          </cell>
          <cell r="CB9">
            <v>31.321466666666662</v>
          </cell>
          <cell r="CC9">
            <v>0.38099607843137256</v>
          </cell>
          <cell r="CD9">
            <v>1.9751921568627453</v>
          </cell>
          <cell r="CE9">
            <v>0</v>
          </cell>
          <cell r="CF9">
            <v>0</v>
          </cell>
          <cell r="CG9">
            <v>0</v>
          </cell>
          <cell r="CH9">
            <v>0</v>
          </cell>
          <cell r="CI9">
            <v>0</v>
          </cell>
          <cell r="CJ9">
            <v>2.1647058823529415E-2</v>
          </cell>
          <cell r="CK9">
            <v>0</v>
          </cell>
          <cell r="CL9">
            <v>0</v>
          </cell>
          <cell r="CM9">
            <v>0</v>
          </cell>
          <cell r="CN9">
            <v>0</v>
          </cell>
          <cell r="CO9">
            <v>0</v>
          </cell>
          <cell r="CP9">
            <v>0</v>
          </cell>
          <cell r="CQ9">
            <v>0</v>
          </cell>
          <cell r="CR9">
            <v>0</v>
          </cell>
          <cell r="CS9">
            <v>0</v>
          </cell>
          <cell r="CT9">
            <v>0</v>
          </cell>
          <cell r="CU9">
            <v>0</v>
          </cell>
          <cell r="CV9">
            <v>0</v>
          </cell>
          <cell r="CW9">
            <v>4.4998039215686278E-2</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O9">
            <v>9</v>
          </cell>
        </row>
        <row r="10">
          <cell r="A10" t="str">
            <v>Average of U.S. metro areas of 250,000 to 499,999</v>
          </cell>
          <cell r="B10">
            <v>5342.1470475721098</v>
          </cell>
          <cell r="C10">
            <v>4578.1417036622324</v>
          </cell>
          <cell r="D10">
            <v>3377.4273783204853</v>
          </cell>
          <cell r="E10">
            <v>3033.7238731488542</v>
          </cell>
          <cell r="F10">
            <v>2010.0535417025746</v>
          </cell>
          <cell r="G10">
            <v>1814.2849228933983</v>
          </cell>
          <cell r="H10">
            <v>1472.8600471534469</v>
          </cell>
          <cell r="I10">
            <v>1334.9776031546387</v>
          </cell>
          <cell r="J10">
            <v>947.81689106104182</v>
          </cell>
          <cell r="K10">
            <v>1181.0330918034424</v>
          </cell>
          <cell r="L10">
            <v>901.38915648343493</v>
          </cell>
          <cell r="M10">
            <v>777.50150102994041</v>
          </cell>
          <cell r="N10">
            <v>587.48650702464749</v>
          </cell>
          <cell r="O10">
            <v>561.51785942072149</v>
          </cell>
          <cell r="P10">
            <v>774.00089087539175</v>
          </cell>
          <cell r="Q10">
            <v>779.31943360217474</v>
          </cell>
          <cell r="R10">
            <v>776.08085995118722</v>
          </cell>
          <cell r="S10">
            <v>526.57131725620127</v>
          </cell>
          <cell r="T10">
            <v>372.41526039923986</v>
          </cell>
          <cell r="U10">
            <v>295.54772596306782</v>
          </cell>
          <cell r="V10">
            <v>294.20511304428663</v>
          </cell>
          <cell r="W10">
            <v>310.45417816280531</v>
          </cell>
          <cell r="X10">
            <v>374.77658109954655</v>
          </cell>
          <cell r="Y10">
            <v>362.38850540944634</v>
          </cell>
          <cell r="Z10">
            <v>312.81694927372143</v>
          </cell>
          <cell r="AA10">
            <v>188.11620015366037</v>
          </cell>
          <cell r="AB10">
            <v>171.43453410986547</v>
          </cell>
          <cell r="AC10">
            <v>87.538916831004826</v>
          </cell>
          <cell r="AD10">
            <v>52.026426244785966</v>
          </cell>
          <cell r="AE10">
            <v>71.809316076076087</v>
          </cell>
          <cell r="AF10">
            <v>88.426486857775842</v>
          </cell>
          <cell r="AG10">
            <v>50.723887788678127</v>
          </cell>
          <cell r="AH10">
            <v>93.353539535777671</v>
          </cell>
          <cell r="AI10">
            <v>174.83618080737673</v>
          </cell>
          <cell r="AJ10">
            <v>20.61965847512068</v>
          </cell>
          <cell r="AK10">
            <v>29.418866610806091</v>
          </cell>
          <cell r="AL10">
            <v>9.562542867636239</v>
          </cell>
          <cell r="AM10">
            <v>4.9887625801886495</v>
          </cell>
          <cell r="AN10">
            <v>41.722117035658492</v>
          </cell>
          <cell r="AO10">
            <v>7.4108279546771829</v>
          </cell>
          <cell r="AP10">
            <v>6.6273207317073171</v>
          </cell>
          <cell r="AQ10">
            <v>4.5567451219512192</v>
          </cell>
          <cell r="AR10">
            <v>11.222</v>
          </cell>
          <cell r="AS10">
            <v>34.941270249626854</v>
          </cell>
          <cell r="AT10">
            <v>0.20443658536585366</v>
          </cell>
          <cell r="AU10">
            <v>73.945926781779718</v>
          </cell>
          <cell r="AV10">
            <v>98.944529114167921</v>
          </cell>
          <cell r="AW10">
            <v>33.765142682926829</v>
          </cell>
          <cell r="AX10">
            <v>8.0887902439024391</v>
          </cell>
          <cell r="AY10">
            <v>4.3407809172105809</v>
          </cell>
          <cell r="AZ10">
            <v>13.475189126500268</v>
          </cell>
          <cell r="BA10">
            <v>59.304975389583824</v>
          </cell>
          <cell r="BB10">
            <v>40.136250302663342</v>
          </cell>
          <cell r="BC10">
            <v>46.848983048274462</v>
          </cell>
          <cell r="BD10">
            <v>47.787875238036996</v>
          </cell>
          <cell r="BE10">
            <v>98.668079293452251</v>
          </cell>
          <cell r="BF10">
            <v>151.17938479929956</v>
          </cell>
          <cell r="BG10">
            <v>90.953978516734566</v>
          </cell>
          <cell r="BH10">
            <v>25.773372337158257</v>
          </cell>
          <cell r="BI10">
            <v>28.656808359775653</v>
          </cell>
          <cell r="BJ10">
            <v>0</v>
          </cell>
          <cell r="BK10">
            <v>13.554606097560974</v>
          </cell>
          <cell r="BL10">
            <v>1.4136573170731708</v>
          </cell>
          <cell r="BM10">
            <v>3.2540243902439023E-2</v>
          </cell>
          <cell r="BN10">
            <v>0.16984146341463416</v>
          </cell>
          <cell r="BO10">
            <v>0</v>
          </cell>
          <cell r="BP10">
            <v>0.14514146341463416</v>
          </cell>
          <cell r="BQ10">
            <v>6.0463414634146333E-3</v>
          </cell>
          <cell r="BR10">
            <v>0</v>
          </cell>
          <cell r="BS10">
            <v>0</v>
          </cell>
          <cell r="BT10">
            <v>0</v>
          </cell>
          <cell r="BU10">
            <v>0</v>
          </cell>
          <cell r="BV10">
            <v>0.11655896192556166</v>
          </cell>
          <cell r="BW10">
            <v>0</v>
          </cell>
          <cell r="BX10">
            <v>5.3658536585365847E-4</v>
          </cell>
          <cell r="BY10">
            <v>0</v>
          </cell>
          <cell r="BZ10">
            <v>0</v>
          </cell>
          <cell r="CA10">
            <v>0</v>
          </cell>
          <cell r="CB10">
            <v>15.582826829268292</v>
          </cell>
          <cell r="CC10">
            <v>0</v>
          </cell>
          <cell r="CD10">
            <v>0</v>
          </cell>
          <cell r="CE10">
            <v>0</v>
          </cell>
          <cell r="CF10">
            <v>0</v>
          </cell>
          <cell r="CG10">
            <v>0</v>
          </cell>
          <cell r="CH10">
            <v>0</v>
          </cell>
          <cell r="CI10">
            <v>0</v>
          </cell>
          <cell r="CJ10">
            <v>0</v>
          </cell>
          <cell r="CK10">
            <v>0</v>
          </cell>
          <cell r="CL10">
            <v>2.2352439024390245E-2</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O10">
            <v>10</v>
          </cell>
        </row>
        <row r="11">
          <cell r="A11" t="str">
            <v>Average of U.S. metro areas of less than 250,000</v>
          </cell>
          <cell r="B11">
            <v>3999.111594026183</v>
          </cell>
          <cell r="C11">
            <v>2918.3373411302696</v>
          </cell>
          <cell r="D11">
            <v>1985.3745878273164</v>
          </cell>
          <cell r="E11">
            <v>1298.048189141713</v>
          </cell>
          <cell r="F11">
            <v>838.80085945786868</v>
          </cell>
          <cell r="G11">
            <v>579.94017142475047</v>
          </cell>
          <cell r="H11">
            <v>376.19940230121102</v>
          </cell>
          <cell r="I11">
            <v>259.82005923020478</v>
          </cell>
          <cell r="J11">
            <v>239.24005689531754</v>
          </cell>
          <cell r="K11">
            <v>333.1667116745474</v>
          </cell>
          <cell r="L11">
            <v>220.12798839558261</v>
          </cell>
          <cell r="M11">
            <v>217.49401409778255</v>
          </cell>
          <cell r="N11">
            <v>230.90248233287863</v>
          </cell>
          <cell r="O11">
            <v>256.89748457451816</v>
          </cell>
          <cell r="P11">
            <v>154.41663818327046</v>
          </cell>
          <cell r="Q11">
            <v>136.00228422417243</v>
          </cell>
          <cell r="R11">
            <v>133.17344715350831</v>
          </cell>
          <cell r="S11">
            <v>117.59675771579479</v>
          </cell>
          <cell r="T11">
            <v>119.53568693080557</v>
          </cell>
          <cell r="U11">
            <v>82.325015508812029</v>
          </cell>
          <cell r="V11">
            <v>50.495869490038693</v>
          </cell>
          <cell r="W11">
            <v>95.366240050222103</v>
          </cell>
          <cell r="X11">
            <v>92.204304267127526</v>
          </cell>
          <cell r="Y11">
            <v>86.448125607147844</v>
          </cell>
          <cell r="Z11">
            <v>87.220808707274216</v>
          </cell>
          <cell r="AA11">
            <v>65.373976394780698</v>
          </cell>
          <cell r="AB11">
            <v>59.599673631067724</v>
          </cell>
          <cell r="AC11">
            <v>16.271307008384539</v>
          </cell>
          <cell r="AD11">
            <v>18.399404231624938</v>
          </cell>
          <cell r="AE11">
            <v>22.832455709634814</v>
          </cell>
          <cell r="AF11">
            <v>31.351494617245027</v>
          </cell>
          <cell r="AG11">
            <v>1.0375384615384615</v>
          </cell>
          <cell r="AH11">
            <v>3.2312502387735722</v>
          </cell>
          <cell r="AI11">
            <v>7.0270637362637363</v>
          </cell>
          <cell r="AJ11">
            <v>9.0382224134750668</v>
          </cell>
          <cell r="AK11">
            <v>4.4065187244626047</v>
          </cell>
          <cell r="AL11">
            <v>55.953242729013525</v>
          </cell>
          <cell r="AM11">
            <v>39.740001778540638</v>
          </cell>
          <cell r="AN11">
            <v>3.2595038461538461</v>
          </cell>
          <cell r="AO11">
            <v>0.34309063822469132</v>
          </cell>
          <cell r="AP11">
            <v>6.1434318795617457</v>
          </cell>
          <cell r="AQ11">
            <v>3.4561280219780222</v>
          </cell>
          <cell r="AR11">
            <v>1.3663302416507634</v>
          </cell>
          <cell r="AS11">
            <v>0.84498934436970086</v>
          </cell>
          <cell r="AT11">
            <v>5.3197192957751476</v>
          </cell>
          <cell r="AU11">
            <v>1.4494659340659339</v>
          </cell>
          <cell r="AV11">
            <v>17.392392549494883</v>
          </cell>
          <cell r="AW11">
            <v>10.948721530657041</v>
          </cell>
          <cell r="AX11">
            <v>0</v>
          </cell>
          <cell r="AY11">
            <v>7.2775824175824178E-2</v>
          </cell>
          <cell r="AZ11">
            <v>3.5262164835164835</v>
          </cell>
          <cell r="BA11">
            <v>1.6956434065934065</v>
          </cell>
          <cell r="BB11">
            <v>0.26848736263736261</v>
          </cell>
          <cell r="BC11">
            <v>7.4378134585016245</v>
          </cell>
          <cell r="BD11">
            <v>3.6495917978323624</v>
          </cell>
          <cell r="BE11">
            <v>0.40847582417582412</v>
          </cell>
          <cell r="BF11">
            <v>13.104528913772198</v>
          </cell>
          <cell r="BG11">
            <v>20.136990659340658</v>
          </cell>
          <cell r="BH11">
            <v>0.22380190590890095</v>
          </cell>
          <cell r="BI11">
            <v>2.2460131868131867</v>
          </cell>
          <cell r="BJ11">
            <v>0</v>
          </cell>
          <cell r="BK11">
            <v>0</v>
          </cell>
          <cell r="BL11">
            <v>0</v>
          </cell>
          <cell r="BM11">
            <v>0</v>
          </cell>
          <cell r="BN11">
            <v>0</v>
          </cell>
          <cell r="BO11">
            <v>6.2703846153846152E-2</v>
          </cell>
          <cell r="BP11">
            <v>0</v>
          </cell>
          <cell r="BQ11">
            <v>0</v>
          </cell>
          <cell r="BR11">
            <v>2.3954735876125706</v>
          </cell>
          <cell r="BS11">
            <v>1.5050000000000001E-2</v>
          </cell>
          <cell r="BT11">
            <v>0</v>
          </cell>
          <cell r="BU11">
            <v>0</v>
          </cell>
          <cell r="BV11">
            <v>0</v>
          </cell>
          <cell r="BW11">
            <v>0</v>
          </cell>
          <cell r="BX11">
            <v>0</v>
          </cell>
          <cell r="BY11">
            <v>0</v>
          </cell>
          <cell r="BZ11">
            <v>0</v>
          </cell>
          <cell r="CA11">
            <v>9.7763736263736262E-3</v>
          </cell>
          <cell r="CB11">
            <v>4.7834065934065931E-2</v>
          </cell>
          <cell r="CC11">
            <v>0</v>
          </cell>
          <cell r="CD11">
            <v>0</v>
          </cell>
          <cell r="CE11">
            <v>0</v>
          </cell>
          <cell r="CF11">
            <v>1.164945054945055E-2</v>
          </cell>
          <cell r="CG11">
            <v>0</v>
          </cell>
          <cell r="CH11">
            <v>0</v>
          </cell>
          <cell r="CI11">
            <v>0</v>
          </cell>
          <cell r="CJ11">
            <v>0</v>
          </cell>
          <cell r="CK11">
            <v>0</v>
          </cell>
          <cell r="CL11">
            <v>1.0380219780219781E-2</v>
          </cell>
          <cell r="CM11">
            <v>0</v>
          </cell>
          <cell r="CN11">
            <v>0</v>
          </cell>
          <cell r="CO11">
            <v>0</v>
          </cell>
          <cell r="CP11">
            <v>0</v>
          </cell>
          <cell r="CQ11">
            <v>0</v>
          </cell>
          <cell r="CR11">
            <v>0</v>
          </cell>
          <cell r="CS11">
            <v>0</v>
          </cell>
          <cell r="CT11">
            <v>0</v>
          </cell>
          <cell r="CU11">
            <v>2.4318681318681319E-2</v>
          </cell>
          <cell r="CV11">
            <v>1.8760989010989011E-2</v>
          </cell>
          <cell r="CW11">
            <v>0</v>
          </cell>
          <cell r="CX11">
            <v>1.7311582417582418</v>
          </cell>
          <cell r="CY11">
            <v>0</v>
          </cell>
          <cell r="CZ11">
            <v>4.0098901098901095E-3</v>
          </cell>
          <cell r="DA11">
            <v>0</v>
          </cell>
          <cell r="DB11">
            <v>0</v>
          </cell>
          <cell r="DC11">
            <v>0</v>
          </cell>
          <cell r="DD11">
            <v>0</v>
          </cell>
          <cell r="DE11">
            <v>0</v>
          </cell>
          <cell r="DF11">
            <v>0</v>
          </cell>
          <cell r="DG11">
            <v>0</v>
          </cell>
          <cell r="DH11">
            <v>0</v>
          </cell>
          <cell r="DI11">
            <v>0</v>
          </cell>
          <cell r="DJ11">
            <v>0</v>
          </cell>
          <cell r="DK11">
            <v>1.1782417582417583E-2</v>
          </cell>
          <cell r="DL11">
            <v>0</v>
          </cell>
          <cell r="DO11">
            <v>11</v>
          </cell>
        </row>
        <row r="12">
          <cell r="A12" t="str">
            <v>Abilene, TX Metro Area</v>
          </cell>
          <cell r="B12">
            <v>2699.0817391876922</v>
          </cell>
          <cell r="C12">
            <v>2722.1994510888549</v>
          </cell>
          <cell r="D12">
            <v>3685.6740689718704</v>
          </cell>
          <cell r="E12">
            <v>1246.7707627078546</v>
          </cell>
          <cell r="F12">
            <v>2417.760463341483</v>
          </cell>
          <cell r="G12">
            <v>1810.6433</v>
          </cell>
          <cell r="H12">
            <v>173.67609834024896</v>
          </cell>
          <cell r="J12">
            <v>23.764700000000001</v>
          </cell>
          <cell r="K12">
            <v>2314.2946000000002</v>
          </cell>
          <cell r="N12">
            <v>13.6989</v>
          </cell>
          <cell r="P12">
            <v>313.58221735072755</v>
          </cell>
          <cell r="Q12">
            <v>17.760825942507068</v>
          </cell>
          <cell r="Y12">
            <v>200.3817</v>
          </cell>
          <cell r="AD12">
            <v>7.5960999999999999</v>
          </cell>
          <cell r="AI12">
            <v>25.668399999999998</v>
          </cell>
          <cell r="AM12">
            <v>15.1822</v>
          </cell>
          <cell r="DO12">
            <v>12</v>
          </cell>
        </row>
        <row r="13">
          <cell r="A13" t="str">
            <v>Akron, OH Metro Area</v>
          </cell>
          <cell r="B13">
            <v>4414.4363324224696</v>
          </cell>
          <cell r="C13">
            <v>5426.968468525075</v>
          </cell>
          <cell r="D13">
            <v>4512.8263154717542</v>
          </cell>
          <cell r="E13">
            <v>3756.4169645742504</v>
          </cell>
          <cell r="F13">
            <v>3219.7338556479435</v>
          </cell>
          <cell r="G13">
            <v>2555.0911030393554</v>
          </cell>
          <cell r="H13">
            <v>1470.0710886645475</v>
          </cell>
          <cell r="I13">
            <v>1771.4236900356709</v>
          </cell>
          <cell r="J13">
            <v>1843.8106696856412</v>
          </cell>
          <cell r="K13">
            <v>1162.9769892719564</v>
          </cell>
          <cell r="L13">
            <v>4730.1917591373049</v>
          </cell>
          <cell r="M13">
            <v>563.21851380917894</v>
          </cell>
          <cell r="N13">
            <v>1144.9576</v>
          </cell>
          <cell r="O13">
            <v>652.49376767431158</v>
          </cell>
          <cell r="P13">
            <v>1003.8441667068587</v>
          </cell>
          <cell r="Q13">
            <v>893.80868053629069</v>
          </cell>
          <cell r="R13">
            <v>1712.1808999999998</v>
          </cell>
          <cell r="S13">
            <v>860.10632137596178</v>
          </cell>
          <cell r="T13">
            <v>2214.1349460173096</v>
          </cell>
          <cell r="U13">
            <v>527.9844044447218</v>
          </cell>
          <cell r="W13">
            <v>211.98869999999999</v>
          </cell>
          <cell r="X13">
            <v>119.4346</v>
          </cell>
          <cell r="Z13">
            <v>119.33285673227661</v>
          </cell>
          <cell r="AA13">
            <v>133.82784788707067</v>
          </cell>
          <cell r="AC13">
            <v>189.82250798156485</v>
          </cell>
          <cell r="DO13">
            <v>13</v>
          </cell>
        </row>
        <row r="14">
          <cell r="A14" t="str">
            <v>Albany, GA Metro Area</v>
          </cell>
          <cell r="B14">
            <v>1858.6078231984827</v>
          </cell>
          <cell r="C14">
            <v>2012.6464508807762</v>
          </cell>
          <cell r="D14">
            <v>1665.2755153419766</v>
          </cell>
          <cell r="E14">
            <v>1927.9005498625618</v>
          </cell>
          <cell r="F14">
            <v>899.42516660438594</v>
          </cell>
          <cell r="G14">
            <v>252.99922112501551</v>
          </cell>
          <cell r="H14">
            <v>914.71259999999995</v>
          </cell>
          <cell r="I14">
            <v>181.81405127279183</v>
          </cell>
          <cell r="J14">
            <v>12.7439</v>
          </cell>
          <cell r="L14">
            <v>67.73</v>
          </cell>
          <cell r="O14">
            <v>21.909300000000002</v>
          </cell>
          <cell r="R14">
            <v>94.992667049417364</v>
          </cell>
          <cell r="S14">
            <v>20.5496605963991</v>
          </cell>
          <cell r="V14">
            <v>17.5688</v>
          </cell>
          <cell r="W14">
            <v>34.089300000000001</v>
          </cell>
          <cell r="X14">
            <v>86.872571040058801</v>
          </cell>
          <cell r="Z14">
            <v>26.988199999999999</v>
          </cell>
          <cell r="AA14">
            <v>9.8130000000000006</v>
          </cell>
          <cell r="AF14">
            <v>7.8191999999999995</v>
          </cell>
          <cell r="DO14">
            <v>14</v>
          </cell>
        </row>
        <row r="15">
          <cell r="A15" t="str">
            <v>Albany-Schenectady-Troy, NY Metro Area</v>
          </cell>
          <cell r="B15">
            <v>11790.83683648642</v>
          </cell>
          <cell r="C15">
            <v>8224.4736503682889</v>
          </cell>
          <cell r="D15">
            <v>3416.5701436943591</v>
          </cell>
          <cell r="E15">
            <v>2465.9243127408031</v>
          </cell>
          <cell r="F15">
            <v>2475.0668602687856</v>
          </cell>
          <cell r="G15">
            <v>3171.7209865796112</v>
          </cell>
          <cell r="H15">
            <v>3586.8031487701187</v>
          </cell>
          <cell r="I15">
            <v>3860.0072934943159</v>
          </cell>
          <cell r="J15">
            <v>2018.0986864818283</v>
          </cell>
          <cell r="K15">
            <v>1768.5729156773255</v>
          </cell>
          <cell r="L15">
            <v>2518.349982008519</v>
          </cell>
          <cell r="M15">
            <v>1765.7954632592973</v>
          </cell>
          <cell r="N15">
            <v>1908.9183874141979</v>
          </cell>
          <cell r="O15">
            <v>5445.3197475190236</v>
          </cell>
          <cell r="P15">
            <v>5288.2405865817782</v>
          </cell>
          <cell r="Q15">
            <v>1822.978732085156</v>
          </cell>
          <cell r="R15">
            <v>3909.9688435245148</v>
          </cell>
          <cell r="S15">
            <v>1518.8272796845292</v>
          </cell>
          <cell r="T15">
            <v>249.33336434065166</v>
          </cell>
          <cell r="U15">
            <v>31.541799999999999</v>
          </cell>
          <cell r="V15">
            <v>448.4984</v>
          </cell>
          <cell r="W15">
            <v>458.80722190254119</v>
          </cell>
          <cell r="X15">
            <v>128.6088762246857</v>
          </cell>
          <cell r="Z15">
            <v>29.9848</v>
          </cell>
          <cell r="AA15">
            <v>3318.9088999999994</v>
          </cell>
          <cell r="AB15">
            <v>1076.8681298973083</v>
          </cell>
          <cell r="AC15">
            <v>138.14392730455074</v>
          </cell>
          <cell r="AD15">
            <v>489.54068636167216</v>
          </cell>
          <cell r="AE15">
            <v>2128.7299359557719</v>
          </cell>
          <cell r="AF15">
            <v>4432.2186000000002</v>
          </cell>
          <cell r="AH15">
            <v>1721.5350000000001</v>
          </cell>
          <cell r="AI15">
            <v>726.30054602845291</v>
          </cell>
          <cell r="AJ15">
            <v>203.38174756971236</v>
          </cell>
          <cell r="AK15">
            <v>106.63443178619924</v>
          </cell>
          <cell r="AL15">
            <v>176.40170000000001</v>
          </cell>
          <cell r="AM15">
            <v>5762.8121000000001</v>
          </cell>
          <cell r="AO15">
            <v>49.521548993195381</v>
          </cell>
          <cell r="AP15">
            <v>50.719799999999999</v>
          </cell>
          <cell r="AQ15">
            <v>601.2781518216683</v>
          </cell>
          <cell r="AS15">
            <v>634.78269999999998</v>
          </cell>
          <cell r="AT15">
            <v>1636.5960474230496</v>
          </cell>
          <cell r="AV15">
            <v>51.581000000000003</v>
          </cell>
          <cell r="DO15">
            <v>15</v>
          </cell>
        </row>
        <row r="16">
          <cell r="A16" t="str">
            <v>Albuquerque, NM Metro Area</v>
          </cell>
          <cell r="B16">
            <v>4055.3636163738875</v>
          </cell>
          <cell r="C16">
            <v>3834.3263904241176</v>
          </cell>
          <cell r="D16">
            <v>4000.426653130573</v>
          </cell>
          <cell r="E16">
            <v>4684.8680679585614</v>
          </cell>
          <cell r="F16">
            <v>4896.727483842682</v>
          </cell>
          <cell r="G16">
            <v>5302.8115867328888</v>
          </cell>
          <cell r="H16">
            <v>4588.4414262399187</v>
          </cell>
          <cell r="I16">
            <v>4213.0812440672989</v>
          </cell>
          <cell r="J16">
            <v>4922.5469268782017</v>
          </cell>
          <cell r="K16">
            <v>3431.8906637112959</v>
          </cell>
          <cell r="L16">
            <v>1373.9090023289459</v>
          </cell>
          <cell r="M16">
            <v>2520.1199334649468</v>
          </cell>
          <cell r="N16">
            <v>868.54294753886018</v>
          </cell>
          <cell r="O16">
            <v>157.6269154622307</v>
          </cell>
          <cell r="P16">
            <v>1452.1409428043385</v>
          </cell>
          <cell r="Q16">
            <v>2831.0088999999998</v>
          </cell>
          <cell r="R16">
            <v>542.92945850596004</v>
          </cell>
          <cell r="S16">
            <v>1802.9729</v>
          </cell>
          <cell r="T16">
            <v>414.61773771760159</v>
          </cell>
          <cell r="U16">
            <v>140.53838440127336</v>
          </cell>
          <cell r="V16">
            <v>939.38965277429918</v>
          </cell>
          <cell r="W16">
            <v>32.471499999999999</v>
          </cell>
          <cell r="X16">
            <v>164.5505</v>
          </cell>
          <cell r="Y16">
            <v>368.46439999999996</v>
          </cell>
          <cell r="Z16">
            <v>426.6825</v>
          </cell>
          <cell r="AA16">
            <v>44.823476673491889</v>
          </cell>
          <cell r="AD16">
            <v>70.943399999999997</v>
          </cell>
          <cell r="AE16">
            <v>679.64226226864832</v>
          </cell>
          <cell r="AF16">
            <v>620.4434</v>
          </cell>
          <cell r="AG16">
            <v>631.00040000000001</v>
          </cell>
          <cell r="AJ16">
            <v>116.53463051823417</v>
          </cell>
          <cell r="AK16">
            <v>49.098100000000002</v>
          </cell>
          <cell r="AL16">
            <v>10.010759099766172</v>
          </cell>
          <cell r="AO16">
            <v>4.2519999999999998</v>
          </cell>
          <cell r="AQ16">
            <v>3.9388999999999998</v>
          </cell>
          <cell r="AW16">
            <v>1.0785</v>
          </cell>
          <cell r="BG16">
            <v>0</v>
          </cell>
          <cell r="BH16">
            <v>1.8867</v>
          </cell>
          <cell r="BS16">
            <v>3.8913000000000002</v>
          </cell>
          <cell r="DO16">
            <v>16</v>
          </cell>
        </row>
        <row r="17">
          <cell r="A17" t="str">
            <v>Alexandria, LA Metro Area</v>
          </cell>
          <cell r="B17">
            <v>1389.9240999999997</v>
          </cell>
          <cell r="C17">
            <v>2643.0085027954701</v>
          </cell>
          <cell r="D17">
            <v>1630.7551210749793</v>
          </cell>
          <cell r="E17">
            <v>994.38461155280481</v>
          </cell>
          <cell r="F17">
            <v>1274.0981983649856</v>
          </cell>
          <cell r="H17">
            <v>228.73586714347405</v>
          </cell>
          <cell r="I17">
            <v>88.819800000000001</v>
          </cell>
          <cell r="K17">
            <v>63.372599999999991</v>
          </cell>
          <cell r="L17">
            <v>172.274</v>
          </cell>
          <cell r="M17">
            <v>21.481000000000002</v>
          </cell>
          <cell r="N17">
            <v>100.5371</v>
          </cell>
          <cell r="Q17">
            <v>34.827948471121175</v>
          </cell>
          <cell r="T17">
            <v>23.540800000000001</v>
          </cell>
          <cell r="U17">
            <v>43.368000000000002</v>
          </cell>
          <cell r="W17">
            <v>31.303899999999995</v>
          </cell>
          <cell r="AA17">
            <v>10.158200000000001</v>
          </cell>
          <cell r="AB17">
            <v>20.994399999999999</v>
          </cell>
          <cell r="AG17">
            <v>24.090800000000002</v>
          </cell>
          <cell r="DO17">
            <v>17</v>
          </cell>
        </row>
        <row r="18">
          <cell r="A18" t="str">
            <v>Allentown-Bethlehem-Easton, PA-NJ Metro Area</v>
          </cell>
          <cell r="B18">
            <v>21129.598581988881</v>
          </cell>
          <cell r="C18">
            <v>8613.2145381811315</v>
          </cell>
          <cell r="D18">
            <v>2880.3611160274772</v>
          </cell>
          <cell r="E18">
            <v>3928.56518085786</v>
          </cell>
          <cell r="F18">
            <v>6884.2890086608895</v>
          </cell>
          <cell r="G18">
            <v>3555.1619938378026</v>
          </cell>
          <cell r="H18">
            <v>2460.3805874726031</v>
          </cell>
          <cell r="I18">
            <v>2149.8152524772399</v>
          </cell>
          <cell r="J18">
            <v>1398.2926793662321</v>
          </cell>
          <cell r="K18">
            <v>1045.482225081739</v>
          </cell>
          <cell r="L18">
            <v>225.56617599660729</v>
          </cell>
          <cell r="M18">
            <v>1516.3478129661867</v>
          </cell>
          <cell r="N18">
            <v>1592.5554784514402</v>
          </cell>
          <cell r="O18">
            <v>4198.321291605017</v>
          </cell>
          <cell r="P18">
            <v>5301.3888325084999</v>
          </cell>
          <cell r="Q18">
            <v>3654.8332787665604</v>
          </cell>
          <cell r="R18">
            <v>2298.151576278151</v>
          </cell>
          <cell r="S18">
            <v>526.73130435719429</v>
          </cell>
          <cell r="T18">
            <v>389.90076334177212</v>
          </cell>
          <cell r="U18">
            <v>670.91275610740968</v>
          </cell>
          <cell r="V18">
            <v>1271.6521173862877</v>
          </cell>
          <cell r="W18">
            <v>1273.6745185155442</v>
          </cell>
          <cell r="X18">
            <v>3229.1707000000001</v>
          </cell>
          <cell r="Y18">
            <v>249.51546225964555</v>
          </cell>
          <cell r="AA18">
            <v>526.24477651831432</v>
          </cell>
          <cell r="AB18">
            <v>732.15058860627175</v>
          </cell>
          <cell r="AC18">
            <v>1308.3913524813768</v>
          </cell>
          <cell r="AD18">
            <v>434.4828</v>
          </cell>
          <cell r="AG18">
            <v>118.10321053844542</v>
          </cell>
          <cell r="AH18">
            <v>32.07</v>
          </cell>
          <cell r="AJ18">
            <v>259.09530000000001</v>
          </cell>
          <cell r="AK18">
            <v>117.86750000000001</v>
          </cell>
          <cell r="AL18">
            <v>286.77179999999998</v>
          </cell>
          <cell r="AM18">
            <v>3091.7565</v>
          </cell>
          <cell r="AN18">
            <v>1317.0976362167621</v>
          </cell>
          <cell r="AO18">
            <v>97.827500000000001</v>
          </cell>
          <cell r="DO18">
            <v>18</v>
          </cell>
        </row>
        <row r="19">
          <cell r="A19" t="str">
            <v>Altoona, PA Metro Area</v>
          </cell>
          <cell r="B19">
            <v>6750.7381956384488</v>
          </cell>
          <cell r="C19">
            <v>4351.9868150183001</v>
          </cell>
          <cell r="D19">
            <v>1248.4723875971833</v>
          </cell>
          <cell r="E19">
            <v>1934.3051921073611</v>
          </cell>
          <cell r="G19">
            <v>1021.7578319519487</v>
          </cell>
          <cell r="H19">
            <v>1033.028444733998</v>
          </cell>
          <cell r="I19">
            <v>289.00357464832121</v>
          </cell>
          <cell r="L19">
            <v>57.753599999999999</v>
          </cell>
          <cell r="M19">
            <v>145.4589</v>
          </cell>
          <cell r="N19">
            <v>3210.6185999999998</v>
          </cell>
          <cell r="O19">
            <v>1316.5585394857537</v>
          </cell>
          <cell r="P19">
            <v>763.83054155521359</v>
          </cell>
          <cell r="Q19">
            <v>115.1177</v>
          </cell>
          <cell r="DO19">
            <v>19</v>
          </cell>
        </row>
        <row r="20">
          <cell r="A20" t="str">
            <v>Amarillo, TX Metro Area</v>
          </cell>
          <cell r="B20">
            <v>2998.6358442137252</v>
          </cell>
          <cell r="C20">
            <v>3232.7026810286075</v>
          </cell>
          <cell r="D20">
            <v>3726.5643038369399</v>
          </cell>
          <cell r="E20">
            <v>2788.5189157733166</v>
          </cell>
          <cell r="F20">
            <v>3645.4714855188695</v>
          </cell>
          <cell r="G20">
            <v>2989.6319390367735</v>
          </cell>
          <cell r="H20">
            <v>2572.8830432888176</v>
          </cell>
          <cell r="I20">
            <v>546.81743214002745</v>
          </cell>
          <cell r="J20">
            <v>21.901284944218538</v>
          </cell>
          <cell r="L20">
            <v>248.38309999999998</v>
          </cell>
          <cell r="N20">
            <v>47.701000000000001</v>
          </cell>
          <cell r="R20">
            <v>1423.7594838094637</v>
          </cell>
          <cell r="AA20">
            <v>7.0319000000000003</v>
          </cell>
          <cell r="AB20">
            <v>2.0911</v>
          </cell>
          <cell r="AP20">
            <v>6.2727000000000004</v>
          </cell>
          <cell r="DO20">
            <v>20</v>
          </cell>
        </row>
        <row r="21">
          <cell r="A21" t="str">
            <v>Ames, IA Metro Area</v>
          </cell>
          <cell r="B21">
            <v>1632.5717633495146</v>
          </cell>
          <cell r="C21">
            <v>4724.1083438978822</v>
          </cell>
          <cell r="D21">
            <v>1137.4355611988417</v>
          </cell>
          <cell r="E21">
            <v>4238.0195254798809</v>
          </cell>
          <cell r="J21">
            <v>197.78922377298494</v>
          </cell>
          <cell r="L21">
            <v>90.497500000000002</v>
          </cell>
          <cell r="P21">
            <v>29.925799999999999</v>
          </cell>
          <cell r="R21">
            <v>12.9354</v>
          </cell>
          <cell r="DO21">
            <v>21</v>
          </cell>
        </row>
        <row r="22">
          <cell r="A22" t="str">
            <v>Anchorage, AK Metro Area</v>
          </cell>
          <cell r="B22">
            <v>5117.6032353396295</v>
          </cell>
          <cell r="C22">
            <v>4463.5924056010481</v>
          </cell>
          <cell r="D22">
            <v>4713.4644019773095</v>
          </cell>
          <cell r="E22">
            <v>6184.1296325786961</v>
          </cell>
          <cell r="F22">
            <v>4797.7529498433669</v>
          </cell>
          <cell r="G22">
            <v>4391.1860428129667</v>
          </cell>
          <cell r="H22">
            <v>5251.871358394048</v>
          </cell>
          <cell r="I22">
            <v>1178.6217410935737</v>
          </cell>
          <cell r="J22">
            <v>1981.8140182781183</v>
          </cell>
          <cell r="K22">
            <v>958.5856</v>
          </cell>
          <cell r="L22">
            <v>157.62549999999999</v>
          </cell>
          <cell r="O22">
            <v>2076.9893248471317</v>
          </cell>
          <cell r="Q22">
            <v>17.195699999999999</v>
          </cell>
          <cell r="S22">
            <v>80.701400000000007</v>
          </cell>
          <cell r="V22">
            <v>17.374722406876792</v>
          </cell>
          <cell r="W22">
            <v>34.244399999999999</v>
          </cell>
          <cell r="Y22">
            <v>219.13698593496946</v>
          </cell>
          <cell r="AB22">
            <v>117.4134</v>
          </cell>
          <cell r="AC22">
            <v>162.99547591960561</v>
          </cell>
          <cell r="AD22">
            <v>258.12252077170416</v>
          </cell>
          <cell r="AE22">
            <v>1080.4177999999999</v>
          </cell>
          <cell r="AF22">
            <v>936.25639999999999</v>
          </cell>
          <cell r="AG22">
            <v>445.42555419537899</v>
          </cell>
          <cell r="AH22">
            <v>342.17878927212183</v>
          </cell>
          <cell r="AI22">
            <v>227.95079999999999</v>
          </cell>
          <cell r="AJ22">
            <v>444.04680000000002</v>
          </cell>
          <cell r="AL22">
            <v>617.92650577197639</v>
          </cell>
          <cell r="AM22">
            <v>25.798731575469201</v>
          </cell>
          <cell r="AN22">
            <v>37.072600000000001</v>
          </cell>
          <cell r="BE22">
            <v>0.47499999999999998</v>
          </cell>
          <cell r="BQ22">
            <v>0.49579999999999996</v>
          </cell>
          <cell r="BX22">
            <v>4.3999999999999997E-2</v>
          </cell>
          <cell r="DO22">
            <v>22</v>
          </cell>
        </row>
        <row r="23">
          <cell r="A23" t="str">
            <v>Anderson, IN Metro Area</v>
          </cell>
          <cell r="B23">
            <v>3198.110612233892</v>
          </cell>
          <cell r="C23">
            <v>2402.9948553175727</v>
          </cell>
          <cell r="D23">
            <v>2042.9281003966214</v>
          </cell>
          <cell r="E23">
            <v>518.83609379018117</v>
          </cell>
          <cell r="F23">
            <v>483.24429787516601</v>
          </cell>
          <cell r="G23">
            <v>130.387</v>
          </cell>
          <cell r="H23">
            <v>217.47606063569685</v>
          </cell>
          <cell r="I23">
            <v>107.96169999999999</v>
          </cell>
          <cell r="J23">
            <v>447.27371168411031</v>
          </cell>
          <cell r="K23">
            <v>1583.6777822811673</v>
          </cell>
          <cell r="L23">
            <v>582.48490917368542</v>
          </cell>
          <cell r="N23">
            <v>248.36828268827455</v>
          </cell>
          <cell r="O23">
            <v>1857.2543000000001</v>
          </cell>
          <cell r="P23">
            <v>2087.3755000000001</v>
          </cell>
          <cell r="Q23">
            <v>38.810200000000002</v>
          </cell>
          <cell r="DO23">
            <v>23</v>
          </cell>
        </row>
        <row r="24">
          <cell r="A24" t="str">
            <v>Anderson, SC Metro Area</v>
          </cell>
          <cell r="B24">
            <v>1446.6823723314424</v>
          </cell>
          <cell r="C24">
            <v>1666.2659840079052</v>
          </cell>
          <cell r="D24">
            <v>1192.0960176311658</v>
          </cell>
          <cell r="E24">
            <v>1273.7737696311697</v>
          </cell>
          <cell r="F24">
            <v>510.99705907855486</v>
          </cell>
          <cell r="G24">
            <v>337.91616933244188</v>
          </cell>
          <cell r="I24">
            <v>252.50248191910416</v>
          </cell>
          <cell r="J24">
            <v>534.798</v>
          </cell>
          <cell r="K24">
            <v>171.93102347743769</v>
          </cell>
          <cell r="L24">
            <v>127.61923150305046</v>
          </cell>
          <cell r="M24">
            <v>166.4366</v>
          </cell>
          <cell r="N24">
            <v>322.46876265756009</v>
          </cell>
          <cell r="O24">
            <v>112.7552</v>
          </cell>
          <cell r="P24">
            <v>268.31063148003892</v>
          </cell>
          <cell r="S24">
            <v>280.20749999999998</v>
          </cell>
          <cell r="T24">
            <v>402.77087293647276</v>
          </cell>
          <cell r="W24">
            <v>607.65260000000001</v>
          </cell>
          <cell r="DO24">
            <v>24</v>
          </cell>
        </row>
        <row r="25">
          <cell r="A25" t="str">
            <v>Ann Arbor, MI Metro Area</v>
          </cell>
          <cell r="B25">
            <v>12027.583060703997</v>
          </cell>
          <cell r="C25">
            <v>4779.9620746137907</v>
          </cell>
          <cell r="D25">
            <v>2811.3714501738837</v>
          </cell>
          <cell r="E25">
            <v>2492.003033431412</v>
          </cell>
          <cell r="F25">
            <v>4915.2908346669192</v>
          </cell>
          <cell r="G25">
            <v>1452.1917303420817</v>
          </cell>
          <cell r="H25">
            <v>3671.7525589164525</v>
          </cell>
          <cell r="I25">
            <v>2021.3004927066963</v>
          </cell>
          <cell r="J25">
            <v>1885.1469903880484</v>
          </cell>
          <cell r="K25">
            <v>2197.1781378132241</v>
          </cell>
          <cell r="L25">
            <v>138.43004788935792</v>
          </cell>
          <cell r="M25">
            <v>635.91703400082292</v>
          </cell>
          <cell r="N25">
            <v>198.2381</v>
          </cell>
          <cell r="O25">
            <v>2549.1175497899676</v>
          </cell>
          <cell r="P25">
            <v>366.40539114846484</v>
          </cell>
          <cell r="R25">
            <v>86.988299999999995</v>
          </cell>
          <cell r="T25">
            <v>107.11167845751993</v>
          </cell>
          <cell r="DO25">
            <v>25</v>
          </cell>
        </row>
        <row r="26">
          <cell r="A26" t="str">
            <v>Anniston-Oxford, AL Metro Area</v>
          </cell>
          <cell r="B26">
            <v>1374.9257809433063</v>
          </cell>
          <cell r="C26">
            <v>1314.3256933722164</v>
          </cell>
          <cell r="D26">
            <v>983.59379999999999</v>
          </cell>
          <cell r="E26">
            <v>823.10998571683729</v>
          </cell>
          <cell r="F26">
            <v>529.458366487283</v>
          </cell>
          <cell r="G26">
            <v>475.52390000000003</v>
          </cell>
          <cell r="H26">
            <v>0.24650000000000002</v>
          </cell>
          <cell r="I26">
            <v>250.90864328089657</v>
          </cell>
          <cell r="J26">
            <v>188.26820000000001</v>
          </cell>
          <cell r="K26">
            <v>0.14380000000000001</v>
          </cell>
          <cell r="L26">
            <v>697.62979999999993</v>
          </cell>
          <cell r="M26">
            <v>755.2627</v>
          </cell>
          <cell r="N26">
            <v>428.07159999999999</v>
          </cell>
          <cell r="P26">
            <v>80.618347749917888</v>
          </cell>
          <cell r="Q26">
            <v>73.603099999999998</v>
          </cell>
          <cell r="W26">
            <v>107.60440000000001</v>
          </cell>
          <cell r="X26">
            <v>112.46040000000001</v>
          </cell>
          <cell r="DO26">
            <v>26</v>
          </cell>
        </row>
        <row r="27">
          <cell r="A27" t="str">
            <v>Appleton, WI Metro Area</v>
          </cell>
          <cell r="B27">
            <v>5701.5572394447709</v>
          </cell>
          <cell r="C27">
            <v>4005.6215082138569</v>
          </cell>
          <cell r="D27">
            <v>2797.1812453432021</v>
          </cell>
          <cell r="E27">
            <v>1534.4010075814078</v>
          </cell>
          <cell r="F27">
            <v>2624.3325199104788</v>
          </cell>
          <cell r="G27">
            <v>2472.59</v>
          </cell>
          <cell r="H27">
            <v>1115.4999133040394</v>
          </cell>
          <cell r="I27">
            <v>495.3315803234965</v>
          </cell>
          <cell r="K27">
            <v>166.66550000000001</v>
          </cell>
          <cell r="M27">
            <v>100.53489999999999</v>
          </cell>
          <cell r="N27">
            <v>70.152000000000001</v>
          </cell>
          <cell r="P27">
            <v>119.04799999999999</v>
          </cell>
          <cell r="R27">
            <v>60.211699767062662</v>
          </cell>
          <cell r="S27">
            <v>103.5588218977576</v>
          </cell>
          <cell r="U27">
            <v>136.5909</v>
          </cell>
          <cell r="V27">
            <v>30.1309</v>
          </cell>
          <cell r="AC27">
            <v>146.47489999999999</v>
          </cell>
          <cell r="DO27">
            <v>27</v>
          </cell>
        </row>
        <row r="28">
          <cell r="A28" t="str">
            <v>Asheville, NC Metro Area</v>
          </cell>
          <cell r="B28">
            <v>3161.6867783005732</v>
          </cell>
          <cell r="C28">
            <v>2134.4466526307715</v>
          </cell>
          <cell r="D28">
            <v>2039.5944712311943</v>
          </cell>
          <cell r="E28">
            <v>1066.3105935437904</v>
          </cell>
          <cell r="F28">
            <v>1149.4884065268066</v>
          </cell>
          <cell r="G28">
            <v>490.01383091345241</v>
          </cell>
          <cell r="H28">
            <v>738.82829536476379</v>
          </cell>
          <cell r="I28">
            <v>490.40226032532109</v>
          </cell>
          <cell r="J28">
            <v>338.17844119927628</v>
          </cell>
          <cell r="K28">
            <v>586.02638829217267</v>
          </cell>
          <cell r="L28">
            <v>369.06396379768819</v>
          </cell>
          <cell r="M28">
            <v>677.62232023392892</v>
          </cell>
          <cell r="N28">
            <v>202.6237903021327</v>
          </cell>
          <cell r="O28">
            <v>148.70726930757542</v>
          </cell>
          <cell r="P28">
            <v>552.45600000000002</v>
          </cell>
          <cell r="Q28">
            <v>374.37001796369708</v>
          </cell>
          <cell r="R28">
            <v>236.13644168240592</v>
          </cell>
          <cell r="S28">
            <v>955.29320769230753</v>
          </cell>
          <cell r="T28">
            <v>413.93046878204166</v>
          </cell>
          <cell r="U28">
            <v>839.72117816905211</v>
          </cell>
          <cell r="V28">
            <v>313.52360393197904</v>
          </cell>
          <cell r="W28">
            <v>654.68137631859918</v>
          </cell>
          <cell r="X28">
            <v>488.00908272003437</v>
          </cell>
          <cell r="Y28">
            <v>259.26969979941367</v>
          </cell>
          <cell r="Z28">
            <v>217.53382251899046</v>
          </cell>
          <cell r="AA28">
            <v>427.4048580663698</v>
          </cell>
          <cell r="AB28">
            <v>581.32707870908541</v>
          </cell>
          <cell r="AC28">
            <v>150.43574817518251</v>
          </cell>
          <cell r="AD28">
            <v>184.35939999999999</v>
          </cell>
          <cell r="AF28">
            <v>90.958200000000005</v>
          </cell>
          <cell r="AI28">
            <v>0.1045</v>
          </cell>
          <cell r="DO28">
            <v>28</v>
          </cell>
        </row>
        <row r="29">
          <cell r="A29" t="str">
            <v>Athens-Clarke County, GA Metro Area</v>
          </cell>
          <cell r="B29">
            <v>5448.4097874889821</v>
          </cell>
          <cell r="C29">
            <v>3577.923055575222</v>
          </cell>
          <cell r="D29">
            <v>1954.8672173281591</v>
          </cell>
          <cell r="E29">
            <v>830.18270043753034</v>
          </cell>
          <cell r="F29">
            <v>1268.9915715302022</v>
          </cell>
          <cell r="G29">
            <v>371.08035132331145</v>
          </cell>
          <cell r="H29">
            <v>312.91867822885382</v>
          </cell>
          <cell r="I29">
            <v>205.471</v>
          </cell>
          <cell r="K29">
            <v>189.38610707455578</v>
          </cell>
          <cell r="M29">
            <v>56.101512052117265</v>
          </cell>
          <cell r="Q29">
            <v>75.457339329990248</v>
          </cell>
          <cell r="S29">
            <v>63.065199999999997</v>
          </cell>
          <cell r="U29">
            <v>11.177300000000001</v>
          </cell>
          <cell r="W29">
            <v>32.457450143117356</v>
          </cell>
          <cell r="DO29">
            <v>29</v>
          </cell>
        </row>
        <row r="30">
          <cell r="A30" t="str">
            <v>Atlanta-Sandy Springs-Marietta, GA Metro Area</v>
          </cell>
          <cell r="B30">
            <v>6632.7944011296076</v>
          </cell>
          <cell r="C30">
            <v>8768.9311038034593</v>
          </cell>
          <cell r="D30">
            <v>6116.9503346354195</v>
          </cell>
          <cell r="E30">
            <v>3305.7045169929888</v>
          </cell>
          <cell r="F30">
            <v>3509.6982970977078</v>
          </cell>
          <cell r="G30">
            <v>3948.757385309726</v>
          </cell>
          <cell r="H30">
            <v>3537.7672750641705</v>
          </cell>
          <cell r="I30">
            <v>3189.1361520546893</v>
          </cell>
          <cell r="J30">
            <v>3791.1306654206642</v>
          </cell>
          <cell r="K30">
            <v>2946.6005762864997</v>
          </cell>
          <cell r="L30">
            <v>3341.8561183497641</v>
          </cell>
          <cell r="M30">
            <v>2654.4505568445843</v>
          </cell>
          <cell r="N30">
            <v>3164.9877943536453</v>
          </cell>
          <cell r="O30">
            <v>3145.2264895925364</v>
          </cell>
          <cell r="P30">
            <v>3330.7933702863947</v>
          </cell>
          <cell r="Q30">
            <v>2370.825831588073</v>
          </cell>
          <cell r="R30">
            <v>2333.0663290740436</v>
          </cell>
          <cell r="S30">
            <v>2021.869988129876</v>
          </cell>
          <cell r="T30">
            <v>1974.2524232161347</v>
          </cell>
          <cell r="U30">
            <v>2469.6616292233234</v>
          </cell>
          <cell r="V30">
            <v>1960.1232820858736</v>
          </cell>
          <cell r="W30">
            <v>2457.1423732381727</v>
          </cell>
          <cell r="X30">
            <v>1764.9099333590841</v>
          </cell>
          <cell r="Y30">
            <v>1897.7510277718729</v>
          </cell>
          <cell r="Z30">
            <v>1919.1908838776212</v>
          </cell>
          <cell r="AA30">
            <v>2019.5802950223504</v>
          </cell>
          <cell r="AB30">
            <v>1559.6127795760624</v>
          </cell>
          <cell r="AC30">
            <v>1372.1275170705751</v>
          </cell>
          <cell r="AD30">
            <v>758.12348875198143</v>
          </cell>
          <cell r="AE30">
            <v>1322.1603381664443</v>
          </cell>
          <cell r="AF30">
            <v>1201.4820087769783</v>
          </cell>
          <cell r="AG30">
            <v>622.05528981760278</v>
          </cell>
          <cell r="AH30">
            <v>822.06680951360727</v>
          </cell>
          <cell r="AI30">
            <v>779.08328907417717</v>
          </cell>
          <cell r="AJ30">
            <v>832.11850604068934</v>
          </cell>
          <cell r="AK30">
            <v>662.37361339962627</v>
          </cell>
          <cell r="AL30">
            <v>537.87139607035499</v>
          </cell>
          <cell r="AM30">
            <v>534.95998757431732</v>
          </cell>
          <cell r="AN30">
            <v>384.83990340190576</v>
          </cell>
          <cell r="AO30">
            <v>358.49687556564629</v>
          </cell>
          <cell r="AP30">
            <v>416.52756804369437</v>
          </cell>
          <cell r="AQ30">
            <v>794.34534799899484</v>
          </cell>
          <cell r="AR30">
            <v>395.7531088035829</v>
          </cell>
          <cell r="AS30">
            <v>261.0156690829192</v>
          </cell>
          <cell r="AT30">
            <v>193.26291347318087</v>
          </cell>
          <cell r="AU30">
            <v>174.22547536850803</v>
          </cell>
          <cell r="AV30">
            <v>118.52952128750572</v>
          </cell>
          <cell r="AW30">
            <v>194.21223830065358</v>
          </cell>
          <cell r="AX30">
            <v>184.37448973727422</v>
          </cell>
          <cell r="AY30">
            <v>92.003531703775394</v>
          </cell>
          <cell r="AZ30">
            <v>144.67539209366024</v>
          </cell>
          <cell r="BA30">
            <v>101.17671152362747</v>
          </cell>
          <cell r="BB30">
            <v>101.643</v>
          </cell>
          <cell r="BC30">
            <v>32.181100000000001</v>
          </cell>
          <cell r="BG30">
            <v>24.9604</v>
          </cell>
          <cell r="BK30">
            <v>35.636600000000001</v>
          </cell>
          <cell r="BL30">
            <v>107.65479999999998</v>
          </cell>
          <cell r="DO30">
            <v>30</v>
          </cell>
        </row>
        <row r="31">
          <cell r="A31" t="str">
            <v>Atlantic City-Hammonton, NJ Metro Area</v>
          </cell>
          <cell r="B31">
            <v>9237.3425403716301</v>
          </cell>
          <cell r="C31">
            <v>19608.991153141167</v>
          </cell>
          <cell r="D31">
            <v>7537.628836473501</v>
          </cell>
          <cell r="E31">
            <v>5889.3761450051497</v>
          </cell>
          <cell r="F31">
            <v>2885.3632376158939</v>
          </cell>
          <cell r="G31">
            <v>3523.2739238572517</v>
          </cell>
          <cell r="H31">
            <v>2321.0191681466299</v>
          </cell>
          <cell r="I31">
            <v>1671.9690213174274</v>
          </cell>
          <cell r="J31">
            <v>1665.5724633102996</v>
          </cell>
          <cell r="K31">
            <v>1955.4568377875166</v>
          </cell>
          <cell r="L31">
            <v>1138.1915388671875</v>
          </cell>
          <cell r="M31">
            <v>603.61959999999999</v>
          </cell>
          <cell r="O31">
            <v>460.48070423142218</v>
          </cell>
          <cell r="R31">
            <v>388.12040000000002</v>
          </cell>
          <cell r="S31">
            <v>105.5308</v>
          </cell>
          <cell r="U31">
            <v>67.628900000000002</v>
          </cell>
          <cell r="V31">
            <v>135.67366205353639</v>
          </cell>
          <cell r="AB31">
            <v>306.43222616428739</v>
          </cell>
          <cell r="AC31">
            <v>184.39230000000001</v>
          </cell>
          <cell r="AD31">
            <v>479.28929722017216</v>
          </cell>
          <cell r="AE31">
            <v>607.43820000000005</v>
          </cell>
          <cell r="DO31">
            <v>31</v>
          </cell>
        </row>
        <row r="32">
          <cell r="A32" t="str">
            <v>Auburn-Opelika, AL Metro Area</v>
          </cell>
          <cell r="B32">
            <v>4355.3540642784092</v>
          </cell>
          <cell r="C32">
            <v>1439.434843238731</v>
          </cell>
          <cell r="D32">
            <v>538.28057078703705</v>
          </cell>
          <cell r="E32">
            <v>544.92802681138994</v>
          </cell>
          <cell r="F32">
            <v>53.87060000000001</v>
          </cell>
          <cell r="G32">
            <v>1969.2263892597966</v>
          </cell>
          <cell r="I32">
            <v>348.33140906277083</v>
          </cell>
          <cell r="J32">
            <v>56.967599999999997</v>
          </cell>
          <cell r="N32">
            <v>102.4791</v>
          </cell>
          <cell r="R32">
            <v>95.318600000000004</v>
          </cell>
          <cell r="U32">
            <v>77.810699999999997</v>
          </cell>
          <cell r="W32">
            <v>459.37819999999999</v>
          </cell>
          <cell r="X32">
            <v>989.00570000000005</v>
          </cell>
          <cell r="Y32">
            <v>517.21640000000002</v>
          </cell>
          <cell r="Z32">
            <v>1505.8619000000001</v>
          </cell>
          <cell r="AB32">
            <v>624.15899999999999</v>
          </cell>
          <cell r="DO32">
            <v>32</v>
          </cell>
        </row>
        <row r="33">
          <cell r="A33" t="str">
            <v>Augusta-Richmond County, GA-SC Metro Area</v>
          </cell>
          <cell r="B33">
            <v>2580.047105268613</v>
          </cell>
          <cell r="C33">
            <v>1346.3423511337955</v>
          </cell>
          <cell r="D33">
            <v>2897.6289666437315</v>
          </cell>
          <cell r="E33">
            <v>1814.7746832764599</v>
          </cell>
          <cell r="F33">
            <v>2338.7100094299417</v>
          </cell>
          <cell r="G33">
            <v>2228.3319589857624</v>
          </cell>
          <cell r="H33">
            <v>1187.9528147788731</v>
          </cell>
          <cell r="I33">
            <v>1394.9833302701238</v>
          </cell>
          <cell r="J33">
            <v>1565.1494884530573</v>
          </cell>
          <cell r="K33">
            <v>1441.734281538045</v>
          </cell>
          <cell r="L33">
            <v>997.12820653526137</v>
          </cell>
          <cell r="M33">
            <v>1202.6149655778204</v>
          </cell>
          <cell r="N33">
            <v>651.8214382778707</v>
          </cell>
          <cell r="O33">
            <v>689.46988342471934</v>
          </cell>
          <cell r="P33">
            <v>385.84690000000001</v>
          </cell>
          <cell r="Q33">
            <v>794.8974926811743</v>
          </cell>
          <cell r="R33">
            <v>70.407645681255161</v>
          </cell>
          <cell r="S33">
            <v>132.09549999999999</v>
          </cell>
          <cell r="T33">
            <v>183.64084397805865</v>
          </cell>
          <cell r="U33">
            <v>0</v>
          </cell>
          <cell r="V33">
            <v>31.684835233621129</v>
          </cell>
          <cell r="W33">
            <v>94.122135013060515</v>
          </cell>
          <cell r="X33">
            <v>43.363717902350814</v>
          </cell>
          <cell r="Z33">
            <v>45.973100000000002</v>
          </cell>
          <cell r="AA33">
            <v>63.985412796877199</v>
          </cell>
          <cell r="AD33">
            <v>37.330399999999997</v>
          </cell>
          <cell r="AE33">
            <v>295.43540000000002</v>
          </cell>
          <cell r="AF33">
            <v>31.423390936044044</v>
          </cell>
          <cell r="AG33">
            <v>128.58699999999999</v>
          </cell>
          <cell r="AH33">
            <v>172.20519999999999</v>
          </cell>
          <cell r="AJ33">
            <v>33.758435479004277</v>
          </cell>
          <cell r="AM33">
            <v>29.501799999999999</v>
          </cell>
          <cell r="AN33">
            <v>9.6273</v>
          </cell>
          <cell r="DO33">
            <v>33</v>
          </cell>
        </row>
        <row r="34">
          <cell r="A34" t="str">
            <v>Austin-Round Rock-San Marcos, TX Metro Area</v>
          </cell>
          <cell r="B34">
            <v>5856.8693999999996</v>
          </cell>
          <cell r="C34">
            <v>11480.351937288058</v>
          </cell>
          <cell r="D34">
            <v>6086.2113346471097</v>
          </cell>
          <cell r="E34">
            <v>4598.6041027775282</v>
          </cell>
          <cell r="F34">
            <v>4214.3956919880429</v>
          </cell>
          <cell r="G34">
            <v>4908.5774615217879</v>
          </cell>
          <cell r="H34">
            <v>4402.0534217317118</v>
          </cell>
          <cell r="I34">
            <v>4412.9366504203826</v>
          </cell>
          <cell r="J34">
            <v>2741.4469255570757</v>
          </cell>
          <cell r="K34">
            <v>2842.1539185956253</v>
          </cell>
          <cell r="L34">
            <v>2216.2038230658522</v>
          </cell>
          <cell r="M34">
            <v>2308.689345802989</v>
          </cell>
          <cell r="N34">
            <v>3525.2501061989365</v>
          </cell>
          <cell r="O34">
            <v>2904.252110804212</v>
          </cell>
          <cell r="P34">
            <v>1556.2449688252523</v>
          </cell>
          <cell r="Q34">
            <v>1821.1313618251449</v>
          </cell>
          <cell r="R34">
            <v>2491.4329323680208</v>
          </cell>
          <cell r="S34">
            <v>2553.3723253470353</v>
          </cell>
          <cell r="T34">
            <v>3208.3787279810927</v>
          </cell>
          <cell r="U34">
            <v>2036.4198034526682</v>
          </cell>
          <cell r="V34">
            <v>1392.4929572725703</v>
          </cell>
          <cell r="W34">
            <v>522.27885107342752</v>
          </cell>
          <cell r="X34">
            <v>649.38364898321311</v>
          </cell>
          <cell r="Y34">
            <v>242.88147872870383</v>
          </cell>
          <cell r="Z34">
            <v>137.05921988950277</v>
          </cell>
          <cell r="AA34">
            <v>1490.0331833035211</v>
          </cell>
          <cell r="AB34">
            <v>327.03006634087848</v>
          </cell>
          <cell r="AC34">
            <v>949.74587132540364</v>
          </cell>
          <cell r="AD34">
            <v>1910.4065561251937</v>
          </cell>
          <cell r="AE34">
            <v>1311.8979330674154</v>
          </cell>
          <cell r="AF34">
            <v>397.59270594004846</v>
          </cell>
          <cell r="AG34">
            <v>532.46324397496085</v>
          </cell>
          <cell r="AH34">
            <v>93.293357424960519</v>
          </cell>
          <cell r="AJ34">
            <v>63.651999999999994</v>
          </cell>
          <cell r="AL34">
            <v>21.328399999999998</v>
          </cell>
          <cell r="AM34">
            <v>51.694124166323597</v>
          </cell>
          <cell r="AN34">
            <v>37.921399999999998</v>
          </cell>
          <cell r="AO34">
            <v>426.31299999999999</v>
          </cell>
          <cell r="AP34">
            <v>333.15727632608991</v>
          </cell>
          <cell r="DO34">
            <v>34</v>
          </cell>
        </row>
        <row r="35">
          <cell r="A35" t="str">
            <v>Bakersfield-Delano, CA Metro Area</v>
          </cell>
          <cell r="B35">
            <v>5639.5881628499455</v>
          </cell>
          <cell r="C35">
            <v>5025.920787636569</v>
          </cell>
          <cell r="D35">
            <v>7176.1585752506753</v>
          </cell>
          <cell r="E35">
            <v>5278.7089211046596</v>
          </cell>
          <cell r="F35">
            <v>5293.7853486386848</v>
          </cell>
          <cell r="G35">
            <v>3963.1660303931653</v>
          </cell>
          <cell r="H35">
            <v>3123.3469478466436</v>
          </cell>
          <cell r="I35">
            <v>783.5642630130003</v>
          </cell>
          <cell r="J35">
            <v>649.03867853462145</v>
          </cell>
          <cell r="K35">
            <v>4041.7120882352942</v>
          </cell>
          <cell r="L35">
            <v>498.19731317294998</v>
          </cell>
          <cell r="M35">
            <v>26.495899999999999</v>
          </cell>
          <cell r="Q35">
            <v>3023.2912694475344</v>
          </cell>
          <cell r="R35">
            <v>3334.6696934959346</v>
          </cell>
          <cell r="S35">
            <v>599.44470000000001</v>
          </cell>
          <cell r="T35">
            <v>21.281700000000001</v>
          </cell>
          <cell r="V35">
            <v>21.3063</v>
          </cell>
          <cell r="Y35">
            <v>4336.8170571995433</v>
          </cell>
          <cell r="Z35">
            <v>2202.0397075702454</v>
          </cell>
          <cell r="AA35">
            <v>8.4906000000000006</v>
          </cell>
          <cell r="AB35">
            <v>1842.3164652494431</v>
          </cell>
          <cell r="AD35">
            <v>1202.8986</v>
          </cell>
          <cell r="AE35">
            <v>4033.7383722366717</v>
          </cell>
          <cell r="AF35">
            <v>3215.5788813561894</v>
          </cell>
          <cell r="AG35">
            <v>6155.768421410774</v>
          </cell>
          <cell r="AH35">
            <v>2623.0711988346429</v>
          </cell>
          <cell r="AI35">
            <v>82.810726041128447</v>
          </cell>
          <cell r="AJ35">
            <v>1751.5047</v>
          </cell>
          <cell r="AL35">
            <v>891.62121891953495</v>
          </cell>
          <cell r="AM35">
            <v>3.1433000000000004</v>
          </cell>
          <cell r="AN35">
            <v>243.14240000000001</v>
          </cell>
          <cell r="AO35">
            <v>5.1095593421898435</v>
          </cell>
          <cell r="AQ35">
            <v>13.241199999999999</v>
          </cell>
          <cell r="BB35">
            <v>189.9487</v>
          </cell>
          <cell r="BF35">
            <v>38.373399999999997</v>
          </cell>
          <cell r="BI35">
            <v>1360.0062</v>
          </cell>
          <cell r="BJ35">
            <v>1404.6174000000001</v>
          </cell>
          <cell r="BK35">
            <v>59.058</v>
          </cell>
          <cell r="BL35">
            <v>1198.4567999999999</v>
          </cell>
          <cell r="BO35">
            <v>6.5667999999999997</v>
          </cell>
          <cell r="BR35">
            <v>6.617</v>
          </cell>
          <cell r="BW35">
            <v>22.657499999999999</v>
          </cell>
          <cell r="BZ35">
            <v>2099.1424000000002</v>
          </cell>
          <cell r="CA35">
            <v>2776.1738708389171</v>
          </cell>
          <cell r="CB35">
            <v>1597.3947999999998</v>
          </cell>
          <cell r="CC35">
            <v>19.430800000000001</v>
          </cell>
          <cell r="CD35">
            <v>100.73480000000001</v>
          </cell>
          <cell r="DO35">
            <v>35</v>
          </cell>
        </row>
        <row r="36">
          <cell r="A36" t="str">
            <v>Baltimore-Towson, MD Metro Area</v>
          </cell>
          <cell r="B36">
            <v>24901.127003521608</v>
          </cell>
          <cell r="C36">
            <v>17348.886346104275</v>
          </cell>
          <cell r="D36">
            <v>14523.299627134185</v>
          </cell>
          <cell r="E36">
            <v>10077.917132886334</v>
          </cell>
          <cell r="F36">
            <v>8548.5482530853769</v>
          </cell>
          <cell r="G36">
            <v>6891.1498724331641</v>
          </cell>
          <cell r="H36">
            <v>6472.6029978510833</v>
          </cell>
          <cell r="I36">
            <v>5091.2992616722113</v>
          </cell>
          <cell r="J36">
            <v>5586.9120476391063</v>
          </cell>
          <cell r="K36">
            <v>4248.929791999537</v>
          </cell>
          <cell r="L36">
            <v>3732.2813003575002</v>
          </cell>
          <cell r="M36">
            <v>3437.898616929831</v>
          </cell>
          <cell r="N36">
            <v>3273.5148847808041</v>
          </cell>
          <cell r="O36">
            <v>3525.7558220920741</v>
          </cell>
          <cell r="P36">
            <v>2680.7427017829204</v>
          </cell>
          <cell r="Q36">
            <v>2741.6436110179352</v>
          </cell>
          <cell r="R36">
            <v>2830.406334728933</v>
          </cell>
          <cell r="S36">
            <v>1586.7373705379043</v>
          </cell>
          <cell r="T36">
            <v>2711.416182769784</v>
          </cell>
          <cell r="U36">
            <v>2216.6986388190844</v>
          </cell>
          <cell r="V36">
            <v>2699.5193644234678</v>
          </cell>
          <cell r="W36">
            <v>1680.7582377249357</v>
          </cell>
          <cell r="X36">
            <v>2183.2344686102056</v>
          </cell>
          <cell r="Y36">
            <v>4337.2664834029028</v>
          </cell>
          <cell r="Z36">
            <v>1750.3388630678805</v>
          </cell>
          <cell r="AA36">
            <v>786.30344414020283</v>
          </cell>
          <cell r="AB36">
            <v>492.32196146509125</v>
          </cell>
          <cell r="AC36">
            <v>1107.3558086782275</v>
          </cell>
          <cell r="AD36">
            <v>537.73036239964006</v>
          </cell>
          <cell r="AE36">
            <v>1186.6199665773947</v>
          </cell>
          <cell r="AF36">
            <v>242.00637648919522</v>
          </cell>
          <cell r="AG36">
            <v>372.05971452731268</v>
          </cell>
          <cell r="AH36">
            <v>1680.203711276386</v>
          </cell>
          <cell r="AI36">
            <v>143.36588980974884</v>
          </cell>
          <cell r="AJ36">
            <v>452.64959555038536</v>
          </cell>
          <cell r="AK36">
            <v>156.19134136904762</v>
          </cell>
          <cell r="AM36">
            <v>124.58211189851269</v>
          </cell>
          <cell r="AN36">
            <v>512.59799999999996</v>
          </cell>
          <cell r="AO36">
            <v>150.22319027962718</v>
          </cell>
          <cell r="AR36">
            <v>37.741999999999997</v>
          </cell>
          <cell r="DO36">
            <v>36</v>
          </cell>
        </row>
        <row r="37">
          <cell r="A37" t="str">
            <v>Bangor, ME Metro Area</v>
          </cell>
          <cell r="B37">
            <v>5337.9780944416543</v>
          </cell>
          <cell r="C37">
            <v>1158.8733662455502</v>
          </cell>
          <cell r="D37">
            <v>658.63062099950753</v>
          </cell>
          <cell r="E37">
            <v>633.87540000000013</v>
          </cell>
          <cell r="G37">
            <v>149.374</v>
          </cell>
          <cell r="H37">
            <v>144.66945114924914</v>
          </cell>
          <cell r="I37">
            <v>534.66150029498533</v>
          </cell>
          <cell r="J37">
            <v>1653.0970702828433</v>
          </cell>
          <cell r="K37">
            <v>83.811400000000006</v>
          </cell>
          <cell r="L37">
            <v>900.70649999999989</v>
          </cell>
          <cell r="M37">
            <v>67.330116203415187</v>
          </cell>
          <cell r="N37">
            <v>67.036957721518974</v>
          </cell>
          <cell r="S37">
            <v>38.212758703071671</v>
          </cell>
          <cell r="T37">
            <v>53.041899999999998</v>
          </cell>
          <cell r="U37">
            <v>13.0741</v>
          </cell>
          <cell r="V37">
            <v>38.793300000000002</v>
          </cell>
          <cell r="W37">
            <v>27.954999999999998</v>
          </cell>
          <cell r="X37">
            <v>28.819800000000001</v>
          </cell>
          <cell r="Y37">
            <v>111.0124</v>
          </cell>
          <cell r="AA37">
            <v>56.828400000000002</v>
          </cell>
          <cell r="AE37">
            <v>110.8858</v>
          </cell>
          <cell r="AG37">
            <v>14.627299999999998</v>
          </cell>
          <cell r="AH37">
            <v>57.942100000000003</v>
          </cell>
          <cell r="AN37">
            <v>7.1822999999999988</v>
          </cell>
          <cell r="AP37">
            <v>74.969499999999996</v>
          </cell>
          <cell r="BC37">
            <v>16.5076</v>
          </cell>
          <cell r="BD37">
            <v>5.7382999999999997</v>
          </cell>
          <cell r="BG37">
            <v>242.77489999999997</v>
          </cell>
          <cell r="BI37">
            <v>408.77440000000001</v>
          </cell>
          <cell r="CA37">
            <v>1.7793000000000001</v>
          </cell>
          <cell r="DO37">
            <v>37</v>
          </cell>
        </row>
        <row r="38">
          <cell r="A38" t="str">
            <v>Barnstable Town, MA Metro Area</v>
          </cell>
          <cell r="B38">
            <v>2238.8489250158614</v>
          </cell>
          <cell r="C38">
            <v>1458.9704796258845</v>
          </cell>
          <cell r="D38">
            <v>1111.1793599434402</v>
          </cell>
          <cell r="E38">
            <v>1300.3625</v>
          </cell>
          <cell r="F38">
            <v>1097.9866524554677</v>
          </cell>
          <cell r="G38">
            <v>572.36891878536403</v>
          </cell>
          <cell r="H38">
            <v>668.92834394521253</v>
          </cell>
          <cell r="I38">
            <v>868.51662976764112</v>
          </cell>
          <cell r="J38">
            <v>585.78963672498071</v>
          </cell>
          <cell r="K38">
            <v>730.01738760481771</v>
          </cell>
          <cell r="L38">
            <v>592.04840000000002</v>
          </cell>
          <cell r="M38">
            <v>648.34621804042786</v>
          </cell>
          <cell r="O38">
            <v>708.17880102201843</v>
          </cell>
          <cell r="P38">
            <v>369.66233148010872</v>
          </cell>
          <cell r="Q38">
            <v>685.37045351925622</v>
          </cell>
          <cell r="R38">
            <v>766.10267531884642</v>
          </cell>
          <cell r="S38">
            <v>694.63678918454218</v>
          </cell>
          <cell r="T38">
            <v>1002.6376150862454</v>
          </cell>
          <cell r="U38">
            <v>487.49533847815258</v>
          </cell>
          <cell r="V38">
            <v>368.72410000000002</v>
          </cell>
          <cell r="Y38">
            <v>138.94049999999999</v>
          </cell>
          <cell r="AC38">
            <v>95.583500000000001</v>
          </cell>
          <cell r="AD38">
            <v>304.20710000000003</v>
          </cell>
          <cell r="DO38">
            <v>38</v>
          </cell>
        </row>
        <row r="39">
          <cell r="A39" t="str">
            <v>Baton Rouge, LA Metro Area</v>
          </cell>
          <cell r="B39">
            <v>2778.0884236957386</v>
          </cell>
          <cell r="C39">
            <v>4115.3793296240901</v>
          </cell>
          <cell r="D39">
            <v>4068.1821279133874</v>
          </cell>
          <cell r="E39">
            <v>2557.0439900821243</v>
          </cell>
          <cell r="F39">
            <v>3129.4452590048254</v>
          </cell>
          <cell r="G39">
            <v>1495.1407173216483</v>
          </cell>
          <cell r="H39">
            <v>2485.2806606372505</v>
          </cell>
          <cell r="I39">
            <v>3141.3677091307345</v>
          </cell>
          <cell r="J39">
            <v>3449.6908043645176</v>
          </cell>
          <cell r="K39">
            <v>1863.7040351918588</v>
          </cell>
          <cell r="L39">
            <v>992.12852328857139</v>
          </cell>
          <cell r="M39">
            <v>1072.0883600782392</v>
          </cell>
          <cell r="N39">
            <v>1712.7241157977724</v>
          </cell>
          <cell r="O39">
            <v>432.18109982516756</v>
          </cell>
          <cell r="P39">
            <v>1006.8124944855194</v>
          </cell>
          <cell r="Q39">
            <v>802.27265229547072</v>
          </cell>
          <cell r="R39">
            <v>247.8141</v>
          </cell>
          <cell r="S39">
            <v>1372.1520623611341</v>
          </cell>
          <cell r="T39">
            <v>327.937366177662</v>
          </cell>
          <cell r="U39">
            <v>500.45712425515899</v>
          </cell>
          <cell r="V39">
            <v>555.1104982984582</v>
          </cell>
          <cell r="W39">
            <v>993.82203851841325</v>
          </cell>
          <cell r="X39">
            <v>74.997242835278357</v>
          </cell>
          <cell r="Y39">
            <v>322.39406692729989</v>
          </cell>
          <cell r="Z39">
            <v>115.87157987323538</v>
          </cell>
          <cell r="AA39">
            <v>114.24813172990896</v>
          </cell>
          <cell r="AB39">
            <v>65.131900000000002</v>
          </cell>
          <cell r="AC39">
            <v>296.70851558657358</v>
          </cell>
          <cell r="AD39">
            <v>51.633706700462859</v>
          </cell>
          <cell r="AH39">
            <v>50.930000000000007</v>
          </cell>
          <cell r="AJ39">
            <v>22.810300000000002</v>
          </cell>
          <cell r="AK39">
            <v>98.299095984297054</v>
          </cell>
          <cell r="AN39">
            <v>34.709299999999999</v>
          </cell>
          <cell r="AR39">
            <v>18.570431784140972</v>
          </cell>
          <cell r="AS39">
            <v>9.6489999999999991</v>
          </cell>
          <cell r="DO39">
            <v>39</v>
          </cell>
        </row>
        <row r="40">
          <cell r="A40" t="str">
            <v>Battle Creek, MI Metro Area</v>
          </cell>
          <cell r="B40">
            <v>4929.9091258278149</v>
          </cell>
          <cell r="C40">
            <v>2485.9191267863685</v>
          </cell>
          <cell r="D40">
            <v>1401.6735297413165</v>
          </cell>
          <cell r="E40">
            <v>895.15027112966288</v>
          </cell>
          <cell r="F40">
            <v>676.35889282523726</v>
          </cell>
          <cell r="G40">
            <v>143.82220000000001</v>
          </cell>
          <cell r="H40">
            <v>217.96080000000001</v>
          </cell>
          <cell r="I40">
            <v>86.987099999999998</v>
          </cell>
          <cell r="M40">
            <v>415.60877276615599</v>
          </cell>
          <cell r="P40">
            <v>55.991953664921461</v>
          </cell>
          <cell r="Q40">
            <v>46.4206</v>
          </cell>
          <cell r="T40">
            <v>31.1525</v>
          </cell>
          <cell r="W40">
            <v>394.15053207348296</v>
          </cell>
          <cell r="X40">
            <v>989.05040536352806</v>
          </cell>
          <cell r="Y40">
            <v>84.556100000000001</v>
          </cell>
          <cell r="DO40">
            <v>40</v>
          </cell>
        </row>
        <row r="41">
          <cell r="A41" t="str">
            <v>Bay City, MI Metro Area</v>
          </cell>
          <cell r="B41">
            <v>6165.1056057022515</v>
          </cell>
          <cell r="C41">
            <v>3381.1907072567074</v>
          </cell>
          <cell r="D41">
            <v>1542.782979432217</v>
          </cell>
          <cell r="E41">
            <v>543.02663754457456</v>
          </cell>
          <cell r="F41">
            <v>323.55615579746836</v>
          </cell>
          <cell r="G41">
            <v>169.19200000000001</v>
          </cell>
          <cell r="K41">
            <v>114.14279999999999</v>
          </cell>
          <cell r="L41">
            <v>200.2002</v>
          </cell>
          <cell r="P41">
            <v>72.462400000000002</v>
          </cell>
          <cell r="U41">
            <v>99.585299999999989</v>
          </cell>
          <cell r="Z41">
            <v>36.415500000000002</v>
          </cell>
          <cell r="DO41">
            <v>41</v>
          </cell>
        </row>
        <row r="42">
          <cell r="A42" t="str">
            <v>Beaumont-Port Arthur, TX Metro Area</v>
          </cell>
          <cell r="B42">
            <v>932.20090000000005</v>
          </cell>
          <cell r="C42">
            <v>3499.9199889737993</v>
          </cell>
          <cell r="D42">
            <v>2632.5528894705626</v>
          </cell>
          <cell r="E42">
            <v>3058.7201580151218</v>
          </cell>
          <cell r="F42">
            <v>2071.6040791409287</v>
          </cell>
          <cell r="G42">
            <v>2421.4452851414117</v>
          </cell>
          <cell r="H42">
            <v>1524.7586312477017</v>
          </cell>
          <cell r="I42">
            <v>1069.8022520908908</v>
          </cell>
          <cell r="J42">
            <v>164.34662072823534</v>
          </cell>
          <cell r="K42">
            <v>3038.3167739851101</v>
          </cell>
          <cell r="L42">
            <v>1837.5867313899801</v>
          </cell>
          <cell r="M42">
            <v>2345.9408982602645</v>
          </cell>
          <cell r="N42">
            <v>578.17820515792903</v>
          </cell>
          <cell r="O42">
            <v>1633.08977749161</v>
          </cell>
          <cell r="P42">
            <v>1796.416268600065</v>
          </cell>
          <cell r="Q42">
            <v>1935.5667608730325</v>
          </cell>
          <cell r="R42">
            <v>3007.3340197366679</v>
          </cell>
          <cell r="S42">
            <v>339.71839277373499</v>
          </cell>
          <cell r="T42">
            <v>100.88488257603858</v>
          </cell>
          <cell r="U42">
            <v>402.79917571850063</v>
          </cell>
          <cell r="V42">
            <v>496.60817768588265</v>
          </cell>
          <cell r="W42">
            <v>731.88647151994621</v>
          </cell>
          <cell r="X42">
            <v>333.46414277372264</v>
          </cell>
          <cell r="Z42">
            <v>234.15610000000001</v>
          </cell>
          <cell r="AA42">
            <v>44.232300000000002</v>
          </cell>
          <cell r="AI42">
            <v>12.2849</v>
          </cell>
          <cell r="DO42">
            <v>42</v>
          </cell>
        </row>
        <row r="43">
          <cell r="A43" t="str">
            <v>Bellingham, WA Metro Area</v>
          </cell>
          <cell r="B43">
            <v>4512.7183014264065</v>
          </cell>
          <cell r="C43">
            <v>5393.5013400049347</v>
          </cell>
          <cell r="D43">
            <v>3488.3014415809448</v>
          </cell>
          <cell r="E43">
            <v>687.67109010644958</v>
          </cell>
          <cell r="F43">
            <v>157.94459999999998</v>
          </cell>
          <cell r="I43">
            <v>271.58882507778469</v>
          </cell>
          <cell r="J43">
            <v>204.96875758048245</v>
          </cell>
          <cell r="K43">
            <v>882.9567376877236</v>
          </cell>
          <cell r="L43">
            <v>215.54551648936172</v>
          </cell>
          <cell r="O43">
            <v>1198.177612993348</v>
          </cell>
          <cell r="P43">
            <v>409.3987218494056</v>
          </cell>
          <cell r="Q43">
            <v>115.44159999999999</v>
          </cell>
          <cell r="S43">
            <v>4.8308</v>
          </cell>
          <cell r="T43">
            <v>402.75972428864105</v>
          </cell>
          <cell r="AF43">
            <v>268.9837</v>
          </cell>
          <cell r="DO43">
            <v>43</v>
          </cell>
        </row>
        <row r="44">
          <cell r="A44" t="str">
            <v>Bend, OR Metro Area</v>
          </cell>
          <cell r="B44">
            <v>3064.0497</v>
          </cell>
          <cell r="C44">
            <v>2077.6067860911435</v>
          </cell>
          <cell r="D44">
            <v>2110.2214776617707</v>
          </cell>
          <cell r="E44">
            <v>490.91800000000001</v>
          </cell>
          <cell r="G44">
            <v>82.283856265889042</v>
          </cell>
          <cell r="J44">
            <v>1.3997999999999999</v>
          </cell>
          <cell r="K44">
            <v>76.155299999999997</v>
          </cell>
          <cell r="N44">
            <v>38.255499999999998</v>
          </cell>
          <cell r="P44">
            <v>130.40960000000001</v>
          </cell>
          <cell r="Q44">
            <v>645.59305096513231</v>
          </cell>
          <cell r="S44">
            <v>1774.4236000000001</v>
          </cell>
          <cell r="U44">
            <v>141.44239999999999</v>
          </cell>
          <cell r="V44">
            <v>7.7847999999999997</v>
          </cell>
          <cell r="X44">
            <v>133.05820000000003</v>
          </cell>
          <cell r="AC44">
            <v>14.5619</v>
          </cell>
          <cell r="DO44">
            <v>44</v>
          </cell>
        </row>
        <row r="45">
          <cell r="A45" t="str">
            <v>Billings, MT Metro Area</v>
          </cell>
          <cell r="B45">
            <v>3414.8421494389995</v>
          </cell>
          <cell r="C45">
            <v>3265.6535460738924</v>
          </cell>
          <cell r="D45">
            <v>3618.6112736812129</v>
          </cell>
          <cell r="E45">
            <v>1839.5196310079184</v>
          </cell>
          <cell r="F45">
            <v>2340.346680178211</v>
          </cell>
          <cell r="G45">
            <v>5256.4259000000002</v>
          </cell>
          <cell r="H45">
            <v>444.80249142857139</v>
          </cell>
          <cell r="K45">
            <v>55.947400000000002</v>
          </cell>
          <cell r="M45">
            <v>86.546300000000002</v>
          </cell>
          <cell r="O45">
            <v>811.66780000000006</v>
          </cell>
          <cell r="Q45">
            <v>1599.6706999999999</v>
          </cell>
          <cell r="W45">
            <v>3.6074999999999999</v>
          </cell>
          <cell r="AD45">
            <v>12.706799999999999</v>
          </cell>
          <cell r="AM45">
            <v>12.014200000000001</v>
          </cell>
          <cell r="AT45">
            <v>1.4592000000000001</v>
          </cell>
          <cell r="AZ45">
            <v>2.9449000000000001</v>
          </cell>
          <cell r="BD45">
            <v>186.20339999999999</v>
          </cell>
          <cell r="DO45">
            <v>45</v>
          </cell>
        </row>
        <row r="46">
          <cell r="A46" t="str">
            <v>Binghamton, NY Metro Area</v>
          </cell>
          <cell r="B46">
            <v>7051.9828801468848</v>
          </cell>
          <cell r="C46">
            <v>4771.4049752416086</v>
          </cell>
          <cell r="D46">
            <v>3960.1410402169795</v>
          </cell>
          <cell r="E46">
            <v>1083.3504</v>
          </cell>
          <cell r="F46">
            <v>627.77458830946784</v>
          </cell>
          <cell r="G46">
            <v>526.02292768984603</v>
          </cell>
          <cell r="H46">
            <v>2429.06150837822</v>
          </cell>
          <cell r="I46">
            <v>2974.8982204474801</v>
          </cell>
          <cell r="J46">
            <v>619.33335341439374</v>
          </cell>
          <cell r="K46">
            <v>117.80530000000002</v>
          </cell>
          <cell r="M46">
            <v>438.92158550696212</v>
          </cell>
          <cell r="N46">
            <v>65.984899999999996</v>
          </cell>
          <cell r="O46">
            <v>104.35465403595718</v>
          </cell>
          <cell r="S46">
            <v>937.55937752119257</v>
          </cell>
          <cell r="T46">
            <v>55.0137</v>
          </cell>
          <cell r="U46">
            <v>58.663899999999998</v>
          </cell>
          <cell r="X46">
            <v>80.088800000000006</v>
          </cell>
          <cell r="Y46">
            <v>46.950311734958504</v>
          </cell>
          <cell r="AF46">
            <v>72.29043565001956</v>
          </cell>
          <cell r="AH46">
            <v>2671.3656000000001</v>
          </cell>
          <cell r="DO46">
            <v>46</v>
          </cell>
        </row>
        <row r="47">
          <cell r="A47" t="str">
            <v>Birmingham-Hoover, AL Metro Area</v>
          </cell>
          <cell r="B47">
            <v>3215.3214638629715</v>
          </cell>
          <cell r="C47">
            <v>4455.9707932373094</v>
          </cell>
          <cell r="D47">
            <v>3212.1134471926362</v>
          </cell>
          <cell r="E47">
            <v>2814.6591767411883</v>
          </cell>
          <cell r="F47">
            <v>2766.4664559935186</v>
          </cell>
          <cell r="G47">
            <v>2537.5230866542429</v>
          </cell>
          <cell r="H47">
            <v>1615.3967914021407</v>
          </cell>
          <cell r="I47">
            <v>1917.9907661827815</v>
          </cell>
          <cell r="J47">
            <v>1487.3834067363355</v>
          </cell>
          <cell r="K47">
            <v>1952.0737465692671</v>
          </cell>
          <cell r="L47">
            <v>2018.3942283593976</v>
          </cell>
          <cell r="M47">
            <v>1461.0369586657096</v>
          </cell>
          <cell r="N47">
            <v>1393.8258633645389</v>
          </cell>
          <cell r="O47">
            <v>816.12974229630117</v>
          </cell>
          <cell r="P47">
            <v>604.95184585742379</v>
          </cell>
          <cell r="Q47">
            <v>503.54423611350416</v>
          </cell>
          <cell r="R47">
            <v>1052.2784786898053</v>
          </cell>
          <cell r="S47">
            <v>680.91595911198954</v>
          </cell>
          <cell r="T47">
            <v>782.52288546700868</v>
          </cell>
          <cell r="U47">
            <v>451.77474873395596</v>
          </cell>
          <cell r="V47">
            <v>497.0656473998452</v>
          </cell>
          <cell r="W47">
            <v>105.42055190966065</v>
          </cell>
          <cell r="X47">
            <v>336.4399776214421</v>
          </cell>
          <cell r="Y47">
            <v>611.09490000000005</v>
          </cell>
          <cell r="Z47">
            <v>113.60720148307185</v>
          </cell>
          <cell r="AA47">
            <v>117.16797237225178</v>
          </cell>
          <cell r="AB47">
            <v>133.0523402688078</v>
          </cell>
          <cell r="AC47">
            <v>103.73468976616232</v>
          </cell>
          <cell r="AD47">
            <v>295.68089520932847</v>
          </cell>
          <cell r="AE47">
            <v>151.52682449955563</v>
          </cell>
          <cell r="AF47">
            <v>271.46249999999998</v>
          </cell>
          <cell r="AH47">
            <v>228.57961431643275</v>
          </cell>
          <cell r="AI47">
            <v>110.94656988597491</v>
          </cell>
          <cell r="AJ47">
            <v>20.568100000000001</v>
          </cell>
          <cell r="AK47">
            <v>234.32710368497814</v>
          </cell>
          <cell r="AL47">
            <v>161.94796396348329</v>
          </cell>
          <cell r="AM47">
            <v>76.318899999999985</v>
          </cell>
          <cell r="AN47">
            <v>42.359400000000001</v>
          </cell>
          <cell r="AO47">
            <v>37.920144414931805</v>
          </cell>
          <cell r="AP47">
            <v>55.381500000000003</v>
          </cell>
          <cell r="AQ47">
            <v>105.76154168216279</v>
          </cell>
          <cell r="AU47">
            <v>55.141983150470224</v>
          </cell>
          <cell r="AV47">
            <v>253.44730000000001</v>
          </cell>
          <cell r="AW47">
            <v>64.965599999999995</v>
          </cell>
          <cell r="AX47">
            <v>57.329877555800493</v>
          </cell>
          <cell r="AY47">
            <v>241.8133</v>
          </cell>
          <cell r="AZ47">
            <v>66.525700000000001</v>
          </cell>
          <cell r="BA47">
            <v>24.986659451565799</v>
          </cell>
          <cell r="BD47">
            <v>51.525999999999996</v>
          </cell>
          <cell r="DO47">
            <v>47</v>
          </cell>
        </row>
        <row r="48">
          <cell r="A48" t="str">
            <v>Bismarck, ND Metro Area</v>
          </cell>
          <cell r="B48">
            <v>3718.8828016882153</v>
          </cell>
          <cell r="C48">
            <v>3417.7728199305329</v>
          </cell>
          <cell r="D48">
            <v>3085.2823349888808</v>
          </cell>
          <cell r="E48">
            <v>441.80709966266534</v>
          </cell>
          <cell r="F48">
            <v>138.26910000000001</v>
          </cell>
          <cell r="G48">
            <v>1652.862507524427</v>
          </cell>
          <cell r="H48">
            <v>65.251499999999993</v>
          </cell>
          <cell r="I48">
            <v>177.22539999999998</v>
          </cell>
          <cell r="O48">
            <v>3.2566081814801047</v>
          </cell>
          <cell r="X48">
            <v>1.8903999999999999</v>
          </cell>
          <cell r="AS48">
            <v>4.4185999999999996</v>
          </cell>
          <cell r="DO48">
            <v>48</v>
          </cell>
        </row>
        <row r="49">
          <cell r="A49" t="str">
            <v>Blacksburg-Christiansburg-Radford, VA Metro Area</v>
          </cell>
          <cell r="B49">
            <v>4546.1670281875276</v>
          </cell>
          <cell r="C49">
            <v>2236.7493273726805</v>
          </cell>
          <cell r="D49">
            <v>2166.0592861785485</v>
          </cell>
          <cell r="F49">
            <v>38.862400000000001</v>
          </cell>
          <cell r="G49">
            <v>581.67348101629432</v>
          </cell>
          <cell r="I49">
            <v>511.82117894627675</v>
          </cell>
          <cell r="J49">
            <v>34.450800000000001</v>
          </cell>
          <cell r="K49">
            <v>1238.4747892993039</v>
          </cell>
          <cell r="L49">
            <v>755.86111255663423</v>
          </cell>
          <cell r="M49">
            <v>668.25684733431501</v>
          </cell>
          <cell r="O49">
            <v>33.757100000000001</v>
          </cell>
          <cell r="Q49">
            <v>0</v>
          </cell>
          <cell r="R49">
            <v>882.94678266017615</v>
          </cell>
          <cell r="U49">
            <v>32.078699999999998</v>
          </cell>
          <cell r="V49">
            <v>55.91424147739334</v>
          </cell>
          <cell r="X49">
            <v>552.95436477472811</v>
          </cell>
          <cell r="Y49">
            <v>92.0655</v>
          </cell>
          <cell r="Z49">
            <v>105.5722</v>
          </cell>
          <cell r="DO49">
            <v>49</v>
          </cell>
        </row>
        <row r="50">
          <cell r="A50" t="str">
            <v>Bloomington, IN Metro Area</v>
          </cell>
          <cell r="B50">
            <v>7108.5570751845435</v>
          </cell>
          <cell r="C50">
            <v>5257.5721077682329</v>
          </cell>
          <cell r="D50">
            <v>2428.0092953267049</v>
          </cell>
          <cell r="E50">
            <v>1388.5731103446892</v>
          </cell>
          <cell r="F50">
            <v>948.12059999999997</v>
          </cell>
          <cell r="G50">
            <v>417.09045758932729</v>
          </cell>
          <cell r="H50">
            <v>262.41123124819694</v>
          </cell>
          <cell r="J50">
            <v>59.2821</v>
          </cell>
          <cell r="K50">
            <v>140.44399999999999</v>
          </cell>
          <cell r="N50">
            <v>59.094682928793276</v>
          </cell>
          <cell r="P50">
            <v>192.6182</v>
          </cell>
          <cell r="R50">
            <v>51.9069</v>
          </cell>
          <cell r="S50">
            <v>54.882199999999997</v>
          </cell>
          <cell r="W50">
            <v>34.735999999999997</v>
          </cell>
          <cell r="X50">
            <v>44.951000000000001</v>
          </cell>
          <cell r="Y50">
            <v>299.86360000000002</v>
          </cell>
          <cell r="Z50">
            <v>55.966500000000003</v>
          </cell>
          <cell r="AE50">
            <v>25.675000000000001</v>
          </cell>
          <cell r="AI50">
            <v>46.628300000000003</v>
          </cell>
          <cell r="AJ50">
            <v>1190.9754</v>
          </cell>
          <cell r="AK50">
            <v>659.03930785219393</v>
          </cell>
          <cell r="DO50">
            <v>50</v>
          </cell>
        </row>
        <row r="51">
          <cell r="A51" t="str">
            <v>Bloomington-Normal, IL Metro Area</v>
          </cell>
          <cell r="B51">
            <v>5741.7087736166941</v>
          </cell>
          <cell r="C51">
            <v>3215.8447162565117</v>
          </cell>
          <cell r="D51">
            <v>7122.446480647216</v>
          </cell>
          <cell r="E51">
            <v>2142.0197106855517</v>
          </cell>
          <cell r="F51">
            <v>1433.3254339414943</v>
          </cell>
          <cell r="G51">
            <v>98.6935</v>
          </cell>
          <cell r="J51">
            <v>66.151200000000003</v>
          </cell>
          <cell r="K51">
            <v>22.813200000000002</v>
          </cell>
          <cell r="L51">
            <v>37.188499999999998</v>
          </cell>
          <cell r="M51">
            <v>41.973500000000008</v>
          </cell>
          <cell r="Q51">
            <v>140.8331</v>
          </cell>
          <cell r="T51">
            <v>18.747699999999998</v>
          </cell>
          <cell r="U51">
            <v>25.946942088091355</v>
          </cell>
          <cell r="V51">
            <v>21.494599999999998</v>
          </cell>
          <cell r="DO51">
            <v>51</v>
          </cell>
        </row>
        <row r="52">
          <cell r="A52" t="str">
            <v>Boise City-Nampa, ID Metro Area</v>
          </cell>
          <cell r="B52">
            <v>2434.6936999999998</v>
          </cell>
          <cell r="C52">
            <v>4434.7864844936303</v>
          </cell>
          <cell r="D52">
            <v>3871.4748761949604</v>
          </cell>
          <cell r="E52">
            <v>3500.4986279304921</v>
          </cell>
          <cell r="F52">
            <v>3692.1162783097006</v>
          </cell>
          <cell r="G52">
            <v>3200.6846277372451</v>
          </cell>
          <cell r="H52">
            <v>2917.1371407300526</v>
          </cell>
          <cell r="I52">
            <v>2207.1956656838656</v>
          </cell>
          <cell r="J52">
            <v>2385.5323978030206</v>
          </cell>
          <cell r="K52">
            <v>2022.2822535482587</v>
          </cell>
          <cell r="L52">
            <v>1521.988197133262</v>
          </cell>
          <cell r="M52">
            <v>1085.7735681638094</v>
          </cell>
          <cell r="O52">
            <v>494.56349999999998</v>
          </cell>
          <cell r="P52">
            <v>192.23933133925127</v>
          </cell>
          <cell r="R52">
            <v>1377.8271999999999</v>
          </cell>
          <cell r="S52">
            <v>2367.7306690103783</v>
          </cell>
          <cell r="T52">
            <v>2663.5381090669557</v>
          </cell>
          <cell r="U52">
            <v>2579.412127835692</v>
          </cell>
          <cell r="V52">
            <v>1834.115861552863</v>
          </cell>
          <cell r="W52">
            <v>1174.2760000000001</v>
          </cell>
          <cell r="X52">
            <v>276.2983474058467</v>
          </cell>
          <cell r="Y52">
            <v>1559.2426333229121</v>
          </cell>
          <cell r="Z52">
            <v>2465.310709828228</v>
          </cell>
          <cell r="AA52">
            <v>29.219334700612915</v>
          </cell>
          <cell r="AC52">
            <v>124.77520000000001</v>
          </cell>
          <cell r="AD52">
            <v>89.800600000000003</v>
          </cell>
          <cell r="AG52">
            <v>63.877400000000002</v>
          </cell>
          <cell r="AK52">
            <v>95.076599999999999</v>
          </cell>
          <cell r="AM52">
            <v>95.642799999999994</v>
          </cell>
          <cell r="AO52">
            <v>63.928899999999999</v>
          </cell>
          <cell r="AT52">
            <v>0.51700000000000002</v>
          </cell>
          <cell r="DO52">
            <v>52</v>
          </cell>
        </row>
        <row r="53">
          <cell r="A53" t="str">
            <v>Boston-Cambridge-Quincy, MA-NH Metro Area</v>
          </cell>
          <cell r="B53">
            <v>40000.654194268296</v>
          </cell>
          <cell r="C53">
            <v>35550.240877525299</v>
          </cell>
          <cell r="D53">
            <v>25544.026857963341</v>
          </cell>
          <cell r="E53">
            <v>22118.934482062676</v>
          </cell>
          <cell r="F53">
            <v>16615.188796721148</v>
          </cell>
          <cell r="G53">
            <v>11440.095547277731</v>
          </cell>
          <cell r="H53">
            <v>7919.3689019944131</v>
          </cell>
          <cell r="I53">
            <v>6319.0836522065802</v>
          </cell>
          <cell r="J53">
            <v>6877.1076100238561</v>
          </cell>
          <cell r="K53">
            <v>8149.81603378609</v>
          </cell>
          <cell r="L53">
            <v>4842.1414301947043</v>
          </cell>
          <cell r="M53">
            <v>2751.3323238409207</v>
          </cell>
          <cell r="N53">
            <v>2333.5867779934315</v>
          </cell>
          <cell r="O53">
            <v>4443.5574376815202</v>
          </cell>
          <cell r="P53">
            <v>2428.6827832427375</v>
          </cell>
          <cell r="Q53">
            <v>2597.0374194961528</v>
          </cell>
          <cell r="R53">
            <v>2093.7775083323695</v>
          </cell>
          <cell r="S53">
            <v>2518.0445169049881</v>
          </cell>
          <cell r="T53">
            <v>2688.7036733678251</v>
          </cell>
          <cell r="U53">
            <v>3723.1181809357818</v>
          </cell>
          <cell r="V53">
            <v>2223.1544428629168</v>
          </cell>
          <cell r="W53">
            <v>1729.5249489990413</v>
          </cell>
          <cell r="X53">
            <v>2650.1923608395437</v>
          </cell>
          <cell r="Y53">
            <v>5605.6750915521279</v>
          </cell>
          <cell r="Z53">
            <v>6296.2534733319817</v>
          </cell>
          <cell r="AA53">
            <v>6261.0246523049855</v>
          </cell>
          <cell r="AB53">
            <v>2684.9477611241527</v>
          </cell>
          <cell r="AC53">
            <v>1214.7114418843914</v>
          </cell>
          <cell r="AD53">
            <v>2890.8979161564585</v>
          </cell>
          <cell r="AE53">
            <v>3226.4810381308912</v>
          </cell>
          <cell r="AF53">
            <v>871.29259131698245</v>
          </cell>
          <cell r="AG53">
            <v>826.81314158668351</v>
          </cell>
          <cell r="AH53">
            <v>1946.0048568194197</v>
          </cell>
          <cell r="AI53">
            <v>965.19476283501831</v>
          </cell>
          <cell r="AJ53">
            <v>705.38004562896356</v>
          </cell>
          <cell r="AK53">
            <v>1034.2908940976465</v>
          </cell>
          <cell r="AL53">
            <v>689.40649829431823</v>
          </cell>
          <cell r="AM53">
            <v>581.18057482445101</v>
          </cell>
          <cell r="AN53">
            <v>824.93864264128331</v>
          </cell>
          <cell r="AO53">
            <v>842.53377153901829</v>
          </cell>
          <cell r="AP53">
            <v>876.48954855571606</v>
          </cell>
          <cell r="AQ53">
            <v>1067.7663509865351</v>
          </cell>
          <cell r="AR53">
            <v>991.77920113372716</v>
          </cell>
          <cell r="AS53">
            <v>452.82061284131117</v>
          </cell>
          <cell r="AT53">
            <v>367.35530779421003</v>
          </cell>
          <cell r="AU53">
            <v>743.48431992365283</v>
          </cell>
          <cell r="AV53">
            <v>359.39469430365801</v>
          </cell>
          <cell r="AW53">
            <v>564.30849850929701</v>
          </cell>
          <cell r="AX53">
            <v>597.38900613266583</v>
          </cell>
          <cell r="AY53">
            <v>257.43860641913153</v>
          </cell>
          <cell r="AZ53">
            <v>1289.6848</v>
          </cell>
          <cell r="BA53">
            <v>4236.9628646455458</v>
          </cell>
          <cell r="BB53">
            <v>975.26035541586066</v>
          </cell>
          <cell r="BC53">
            <v>1146.0481362729822</v>
          </cell>
          <cell r="BD53">
            <v>990.49808221458295</v>
          </cell>
          <cell r="BF53">
            <v>1019.7106153168044</v>
          </cell>
          <cell r="BH53">
            <v>1358.9903096933992</v>
          </cell>
          <cell r="BI53">
            <v>1579.5120718897267</v>
          </cell>
          <cell r="BK53">
            <v>704.40198862635157</v>
          </cell>
          <cell r="BL53">
            <v>881.21450537072235</v>
          </cell>
          <cell r="BM53">
            <v>591.08219999999994</v>
          </cell>
          <cell r="BO53">
            <v>2016.0805216059605</v>
          </cell>
          <cell r="BQ53">
            <v>658.64469999999994</v>
          </cell>
          <cell r="BT53">
            <v>182.32990000000001</v>
          </cell>
          <cell r="BX53">
            <v>138.84639999999999</v>
          </cell>
          <cell r="BY53">
            <v>74.176299999999998</v>
          </cell>
          <cell r="DO53">
            <v>53</v>
          </cell>
        </row>
        <row r="54">
          <cell r="A54" t="str">
            <v>Boulder, CO Metro Area</v>
          </cell>
          <cell r="B54">
            <v>8449.5051363966595</v>
          </cell>
          <cell r="C54">
            <v>8802.3720379335664</v>
          </cell>
          <cell r="D54">
            <v>4838.5229596324989</v>
          </cell>
          <cell r="E54">
            <v>1560.655778305548</v>
          </cell>
          <cell r="F54">
            <v>631.59162739185751</v>
          </cell>
          <cell r="G54">
            <v>2359.1206999999999</v>
          </cell>
          <cell r="H54">
            <v>483.20920000000001</v>
          </cell>
          <cell r="I54">
            <v>2906.3928973949373</v>
          </cell>
          <cell r="J54">
            <v>1401.4280709459879</v>
          </cell>
          <cell r="K54">
            <v>2429.3752626726714</v>
          </cell>
          <cell r="L54">
            <v>827.06356037902799</v>
          </cell>
          <cell r="M54">
            <v>1327.6523999999999</v>
          </cell>
          <cell r="N54">
            <v>1247.7887709507704</v>
          </cell>
          <cell r="O54">
            <v>3051.8846662318251</v>
          </cell>
          <cell r="P54">
            <v>3456.4837125307804</v>
          </cell>
          <cell r="Q54">
            <v>5527.3839870426591</v>
          </cell>
          <cell r="R54">
            <v>3137.9882549901345</v>
          </cell>
          <cell r="DO54">
            <v>54</v>
          </cell>
        </row>
        <row r="55">
          <cell r="A55" t="str">
            <v>Bowling Green, KY Metro Area</v>
          </cell>
          <cell r="B55">
            <v>6893.2211596431698</v>
          </cell>
          <cell r="C55">
            <v>1236.7809568921095</v>
          </cell>
          <cell r="D55">
            <v>2483.1318942181624</v>
          </cell>
          <cell r="E55">
            <v>1869.9882648572577</v>
          </cell>
          <cell r="F55">
            <v>1979.8488837757011</v>
          </cell>
          <cell r="G55">
            <v>480.4609891780525</v>
          </cell>
          <cell r="H55">
            <v>96.698340806760882</v>
          </cell>
          <cell r="J55">
            <v>95.418899999999994</v>
          </cell>
          <cell r="K55">
            <v>94.488599999999991</v>
          </cell>
          <cell r="M55">
            <v>54.210799999999999</v>
          </cell>
          <cell r="Q55">
            <v>70.365399999999994</v>
          </cell>
          <cell r="U55">
            <v>39.322699999999998</v>
          </cell>
          <cell r="Z55">
            <v>42.638354767726163</v>
          </cell>
          <cell r="DO55">
            <v>55</v>
          </cell>
        </row>
        <row r="56">
          <cell r="A56" t="str">
            <v>Bremerton-Silverdale, WA Metro Area</v>
          </cell>
          <cell r="B56">
            <v>7021.9482002969253</v>
          </cell>
          <cell r="C56">
            <v>3960.3119782013687</v>
          </cell>
          <cell r="D56">
            <v>2612.2496565926394</v>
          </cell>
          <cell r="E56">
            <v>2300.9556911216273</v>
          </cell>
          <cell r="F56">
            <v>2056.0409309656452</v>
          </cell>
          <cell r="G56">
            <v>513.64681113760878</v>
          </cell>
          <cell r="H56">
            <v>1863.8101836402595</v>
          </cell>
          <cell r="I56">
            <v>1359.1517377210664</v>
          </cell>
          <cell r="J56">
            <v>474.55090914739742</v>
          </cell>
          <cell r="K56">
            <v>461.93281390339098</v>
          </cell>
          <cell r="L56">
            <v>334.11693922891567</v>
          </cell>
          <cell r="M56">
            <v>1236.4168924231058</v>
          </cell>
          <cell r="O56">
            <v>725.09699999999998</v>
          </cell>
          <cell r="P56">
            <v>251.9804</v>
          </cell>
          <cell r="Q56">
            <v>716.21040000000005</v>
          </cell>
          <cell r="S56">
            <v>300.94049999999999</v>
          </cell>
          <cell r="V56">
            <v>315.0428</v>
          </cell>
          <cell r="DO56">
            <v>56</v>
          </cell>
        </row>
        <row r="57">
          <cell r="A57" t="str">
            <v>Bridgeport-Stamford-Norwalk, CT Metro Area</v>
          </cell>
          <cell r="B57">
            <v>18365.235178693238</v>
          </cell>
          <cell r="C57">
            <v>12371.447737157405</v>
          </cell>
          <cell r="D57">
            <v>7088.6430156250926</v>
          </cell>
          <cell r="E57">
            <v>4000.3566825147218</v>
          </cell>
          <cell r="F57">
            <v>2124.8586258945834</v>
          </cell>
          <cell r="G57">
            <v>923.57293237929025</v>
          </cell>
          <cell r="H57">
            <v>1570.0920594179688</v>
          </cell>
          <cell r="I57">
            <v>1080.0808969279758</v>
          </cell>
          <cell r="J57">
            <v>1314.4832033800244</v>
          </cell>
          <cell r="K57">
            <v>1215.4923030772202</v>
          </cell>
          <cell r="L57">
            <v>2255.6831048656632</v>
          </cell>
          <cell r="M57">
            <v>2323.0323735706911</v>
          </cell>
          <cell r="N57">
            <v>3188.5685291151685</v>
          </cell>
          <cell r="O57">
            <v>6630.2033011119784</v>
          </cell>
          <cell r="P57">
            <v>1515.961462067366</v>
          </cell>
          <cell r="Q57">
            <v>2159.8842916802032</v>
          </cell>
          <cell r="R57">
            <v>775.07825276584231</v>
          </cell>
          <cell r="S57">
            <v>2524.2584552157518</v>
          </cell>
          <cell r="T57">
            <v>4901.765747507613</v>
          </cell>
          <cell r="U57">
            <v>7838.3871025361223</v>
          </cell>
          <cell r="V57">
            <v>8601.8012329867688</v>
          </cell>
          <cell r="W57">
            <v>4152.1115272926172</v>
          </cell>
          <cell r="X57">
            <v>1654.5754646030266</v>
          </cell>
          <cell r="Y57">
            <v>1572.3353708633333</v>
          </cell>
          <cell r="Z57">
            <v>5137.3055784292037</v>
          </cell>
          <cell r="AA57">
            <v>898.34008752038324</v>
          </cell>
          <cell r="AB57">
            <v>4684.1710256487549</v>
          </cell>
          <cell r="AC57">
            <v>4333.0577000000003</v>
          </cell>
          <cell r="AG57">
            <v>163.57740000000001</v>
          </cell>
          <cell r="DO57">
            <v>57</v>
          </cell>
        </row>
        <row r="58">
          <cell r="A58" t="str">
            <v>Brownsville-Harlingen, TX Metro Area</v>
          </cell>
          <cell r="B58">
            <v>7433.386319201798</v>
          </cell>
          <cell r="C58">
            <v>5247.3249056878767</v>
          </cell>
          <cell r="D58">
            <v>5142.5718127845657</v>
          </cell>
          <cell r="E58">
            <v>5296.4094083879645</v>
          </cell>
          <cell r="F58">
            <v>4733.4797717971833</v>
          </cell>
          <cell r="G58">
            <v>1942.4809981717387</v>
          </cell>
          <cell r="H58">
            <v>650.13046285544385</v>
          </cell>
          <cell r="J58">
            <v>291.48660000000001</v>
          </cell>
          <cell r="K58">
            <v>479.44139999999999</v>
          </cell>
          <cell r="M58">
            <v>877.73611471983145</v>
          </cell>
          <cell r="O58">
            <v>352.57209999999998</v>
          </cell>
          <cell r="Q58">
            <v>154.90979999999999</v>
          </cell>
          <cell r="R58">
            <v>207.69759999999999</v>
          </cell>
          <cell r="S58">
            <v>2196.4911247649429</v>
          </cell>
          <cell r="T58">
            <v>220.85236449091025</v>
          </cell>
          <cell r="U58">
            <v>2179.0270999999998</v>
          </cell>
          <cell r="W58">
            <v>2539.1311770711022</v>
          </cell>
          <cell r="X58">
            <v>1722.6243126970721</v>
          </cell>
          <cell r="Y58">
            <v>2183.2034137315345</v>
          </cell>
          <cell r="Z58">
            <v>2087.8186384748074</v>
          </cell>
          <cell r="AA58">
            <v>1091.681603177047</v>
          </cell>
          <cell r="AB58">
            <v>1123.8662995670452</v>
          </cell>
          <cell r="AC58">
            <v>233.65972391178178</v>
          </cell>
          <cell r="AG58">
            <v>132.89670000000001</v>
          </cell>
          <cell r="DO58">
            <v>58</v>
          </cell>
        </row>
        <row r="59">
          <cell r="A59" t="str">
            <v>Brunswick, GA Metro Area</v>
          </cell>
          <cell r="B59">
            <v>780.47445860640755</v>
          </cell>
          <cell r="C59">
            <v>1129.973</v>
          </cell>
          <cell r="D59">
            <v>1217.1083000000001</v>
          </cell>
          <cell r="E59">
            <v>1583.5503000000001</v>
          </cell>
          <cell r="F59">
            <v>2005.6237133567661</v>
          </cell>
          <cell r="G59">
            <v>256.882768261563</v>
          </cell>
          <cell r="H59">
            <v>931.7770319009968</v>
          </cell>
          <cell r="I59">
            <v>135.05950000000001</v>
          </cell>
          <cell r="J59">
            <v>163.08866344282495</v>
          </cell>
          <cell r="R59">
            <v>41.791200000000003</v>
          </cell>
          <cell r="U59">
            <v>60.441000000000003</v>
          </cell>
          <cell r="X59">
            <v>55.920099999999998</v>
          </cell>
          <cell r="AD59">
            <v>32.297699999999999</v>
          </cell>
          <cell r="AE59">
            <v>20.694700000000001</v>
          </cell>
          <cell r="AP59">
            <v>39.1965</v>
          </cell>
          <cell r="DO59">
            <v>59</v>
          </cell>
        </row>
        <row r="60">
          <cell r="A60" t="str">
            <v>Buffalo-Niagara Falls, NY Metro Area</v>
          </cell>
          <cell r="B60">
            <v>8249.3255217007554</v>
          </cell>
          <cell r="C60">
            <v>9761.777505132286</v>
          </cell>
          <cell r="D60">
            <v>9199.8338164540237</v>
          </cell>
          <cell r="E60">
            <v>6756.4868634668892</v>
          </cell>
          <cell r="F60">
            <v>8895.8974839091497</v>
          </cell>
          <cell r="G60">
            <v>7400.7173284046867</v>
          </cell>
          <cell r="H60">
            <v>4547.5646141980242</v>
          </cell>
          <cell r="I60">
            <v>3729.3965685885246</v>
          </cell>
          <cell r="J60">
            <v>2793.7004816022395</v>
          </cell>
          <cell r="K60">
            <v>3195.4601919738466</v>
          </cell>
          <cell r="L60">
            <v>2846.0220281257903</v>
          </cell>
          <cell r="M60">
            <v>1769.4415192505621</v>
          </cell>
          <cell r="N60">
            <v>1104.1584566397339</v>
          </cell>
          <cell r="O60">
            <v>1989.036088426644</v>
          </cell>
          <cell r="P60">
            <v>1785.4760565437898</v>
          </cell>
          <cell r="Q60">
            <v>805.79744959700452</v>
          </cell>
          <cell r="R60">
            <v>2707.8384209816818</v>
          </cell>
          <cell r="S60">
            <v>3128.0288296261988</v>
          </cell>
          <cell r="T60">
            <v>1481.4378660520836</v>
          </cell>
          <cell r="U60">
            <v>911.91294559142386</v>
          </cell>
          <cell r="V60">
            <v>592.1868038602837</v>
          </cell>
          <cell r="W60">
            <v>1731.4731464893875</v>
          </cell>
          <cell r="X60">
            <v>2050.6010788459976</v>
          </cell>
          <cell r="Z60">
            <v>76.292006811701356</v>
          </cell>
          <cell r="AA60">
            <v>105.01631163140479</v>
          </cell>
          <cell r="AB60">
            <v>399.88155408679449</v>
          </cell>
          <cell r="AC60">
            <v>659.5985539691892</v>
          </cell>
          <cell r="AD60">
            <v>722.8728156479217</v>
          </cell>
          <cell r="AE60">
            <v>1554.5504000000001</v>
          </cell>
          <cell r="AF60">
            <v>722.37306740331496</v>
          </cell>
          <cell r="AG60">
            <v>124.5622</v>
          </cell>
          <cell r="AK60">
            <v>71.736099999999993</v>
          </cell>
          <cell r="DO60">
            <v>60</v>
          </cell>
        </row>
        <row r="61">
          <cell r="A61" t="str">
            <v>Burlington, NC Metro Area</v>
          </cell>
          <cell r="B61">
            <v>2906.4132591363082</v>
          </cell>
          <cell r="C61">
            <v>1658.7989282402777</v>
          </cell>
          <cell r="D61">
            <v>1695.4162724061969</v>
          </cell>
          <cell r="E61">
            <v>855.45789999999988</v>
          </cell>
          <cell r="F61">
            <v>933.55365669605953</v>
          </cell>
          <cell r="G61">
            <v>1135.3171061151691</v>
          </cell>
          <cell r="I61">
            <v>330.6161799613605</v>
          </cell>
          <cell r="J61">
            <v>710.01756282039673</v>
          </cell>
          <cell r="K61">
            <v>119.65410547346515</v>
          </cell>
          <cell r="L61">
            <v>201.3039</v>
          </cell>
          <cell r="P61">
            <v>87.895510380717624</v>
          </cell>
          <cell r="DO61">
            <v>61</v>
          </cell>
        </row>
        <row r="62">
          <cell r="A62" t="str">
            <v>Burlington-South Burlington, VT Metro Area</v>
          </cell>
          <cell r="B62">
            <v>8938.869212601121</v>
          </cell>
          <cell r="C62">
            <v>4736.926585931049</v>
          </cell>
          <cell r="D62">
            <v>1573.2709515967092</v>
          </cell>
          <cell r="E62">
            <v>2273.7273514709086</v>
          </cell>
          <cell r="F62">
            <v>832.43395096532799</v>
          </cell>
          <cell r="G62">
            <v>2382.9650000000001</v>
          </cell>
          <cell r="H62">
            <v>308.68717047123101</v>
          </cell>
          <cell r="J62">
            <v>265.84280000000001</v>
          </cell>
          <cell r="M62">
            <v>169.2824187556499</v>
          </cell>
          <cell r="O62">
            <v>113.3092</v>
          </cell>
          <cell r="P62">
            <v>46.936999999999998</v>
          </cell>
          <cell r="Q62">
            <v>118.02590000000001</v>
          </cell>
          <cell r="S62">
            <v>93.884037528921795</v>
          </cell>
          <cell r="T62">
            <v>71.688400000000001</v>
          </cell>
          <cell r="Y62">
            <v>1316.5561402222222</v>
          </cell>
          <cell r="Z62">
            <v>3511.0495999999998</v>
          </cell>
          <cell r="AC62">
            <v>28.7088</v>
          </cell>
          <cell r="AF62">
            <v>110.53465478915352</v>
          </cell>
          <cell r="AI62">
            <v>55.738500000000002</v>
          </cell>
          <cell r="AM62">
            <v>49.571399999999997</v>
          </cell>
          <cell r="AS62">
            <v>35.214100000000002</v>
          </cell>
          <cell r="DO62">
            <v>62</v>
          </cell>
        </row>
        <row r="63">
          <cell r="A63" t="str">
            <v>Canton-Massillon, OH Metro Area</v>
          </cell>
          <cell r="B63">
            <v>5297.8422099759619</v>
          </cell>
          <cell r="C63">
            <v>4776.0854965549279</v>
          </cell>
          <cell r="D63">
            <v>3784.3861528241837</v>
          </cell>
          <cell r="E63">
            <v>1965.0881078748951</v>
          </cell>
          <cell r="F63">
            <v>1731.3010575600306</v>
          </cell>
          <cell r="G63">
            <v>1891.0522261149781</v>
          </cell>
          <cell r="H63">
            <v>1463.6865045674431</v>
          </cell>
          <cell r="I63">
            <v>2049.6634565892036</v>
          </cell>
          <cell r="J63">
            <v>963.58383953007774</v>
          </cell>
          <cell r="K63">
            <v>2440.1817999999998</v>
          </cell>
          <cell r="L63">
            <v>576.19049691223358</v>
          </cell>
          <cell r="M63">
            <v>980.16438171563482</v>
          </cell>
          <cell r="N63">
            <v>690.72164680237643</v>
          </cell>
          <cell r="O63">
            <v>171.870129161862</v>
          </cell>
          <cell r="P63">
            <v>266.46089999999998</v>
          </cell>
          <cell r="Q63">
            <v>1325.4652419657584</v>
          </cell>
          <cell r="R63">
            <v>2451.2978174825562</v>
          </cell>
          <cell r="W63">
            <v>154.61940232218984</v>
          </cell>
          <cell r="Z63">
            <v>45.285200000000003</v>
          </cell>
          <cell r="AC63">
            <v>32.804099999999998</v>
          </cell>
          <cell r="DO63">
            <v>63</v>
          </cell>
        </row>
        <row r="64">
          <cell r="A64" t="str">
            <v>Cape Coral-Fort Myers, FL Metro Area</v>
          </cell>
          <cell r="B64">
            <v>2509.9569999999999</v>
          </cell>
          <cell r="C64">
            <v>2872.9489238251208</v>
          </cell>
          <cell r="D64">
            <v>2897.6953119104451</v>
          </cell>
          <cell r="E64">
            <v>1943.0561459857013</v>
          </cell>
          <cell r="F64">
            <v>1892.5285077025667</v>
          </cell>
          <cell r="G64">
            <v>2430.3764832746047</v>
          </cell>
          <cell r="H64">
            <v>2813.5986103653654</v>
          </cell>
          <cell r="I64">
            <v>2353.0850708769353</v>
          </cell>
          <cell r="J64">
            <v>2091.8508914557983</v>
          </cell>
          <cell r="K64">
            <v>1309.2392657966259</v>
          </cell>
          <cell r="L64">
            <v>867.88909325682062</v>
          </cell>
          <cell r="M64">
            <v>754.81562307501849</v>
          </cell>
          <cell r="N64">
            <v>870.83095010522288</v>
          </cell>
          <cell r="O64">
            <v>1993.0760484719428</v>
          </cell>
          <cell r="P64">
            <v>2570.2963258746136</v>
          </cell>
          <cell r="Q64">
            <v>1323.2021404715952</v>
          </cell>
          <cell r="R64">
            <v>1354.8670100955508</v>
          </cell>
          <cell r="S64">
            <v>673.88517699321346</v>
          </cell>
          <cell r="T64">
            <v>1194.3096452504712</v>
          </cell>
          <cell r="U64">
            <v>1175.233469601603</v>
          </cell>
          <cell r="V64">
            <v>992.61701946686992</v>
          </cell>
          <cell r="W64">
            <v>963.5700340102369</v>
          </cell>
          <cell r="X64">
            <v>1975.4776229546828</v>
          </cell>
          <cell r="Y64">
            <v>1178.673508926601</v>
          </cell>
          <cell r="Z64">
            <v>446.70240000000001</v>
          </cell>
          <cell r="AB64">
            <v>804.22739999999999</v>
          </cell>
          <cell r="DO64">
            <v>64</v>
          </cell>
        </row>
        <row r="65">
          <cell r="A65" t="str">
            <v>Cape Girardeau-Jackson, MO-IL Metro Area</v>
          </cell>
          <cell r="B65">
            <v>4767.2925528983906</v>
          </cell>
          <cell r="C65">
            <v>2695.1222640782316</v>
          </cell>
          <cell r="D65">
            <v>1618.4398807412858</v>
          </cell>
          <cell r="E65">
            <v>1404.1685000000002</v>
          </cell>
          <cell r="F65">
            <v>111.9918</v>
          </cell>
          <cell r="G65">
            <v>86.832300000000018</v>
          </cell>
          <cell r="J65">
            <v>693.05349999999999</v>
          </cell>
          <cell r="K65">
            <v>26.817599999999999</v>
          </cell>
          <cell r="L65">
            <v>456.67100000000005</v>
          </cell>
          <cell r="M65">
            <v>20.414200000000001</v>
          </cell>
          <cell r="O65">
            <v>25.7559</v>
          </cell>
          <cell r="P65">
            <v>51.984499999999997</v>
          </cell>
          <cell r="R65">
            <v>34.049999999999997</v>
          </cell>
          <cell r="Z65">
            <v>40.258699999999997</v>
          </cell>
          <cell r="AB65">
            <v>95.272099999999995</v>
          </cell>
          <cell r="AD65">
            <v>119.73438373274084</v>
          </cell>
          <cell r="AE65">
            <v>12.0219</v>
          </cell>
          <cell r="DO65">
            <v>65</v>
          </cell>
        </row>
        <row r="66">
          <cell r="A66" t="str">
            <v>Carson City, NV Metro Area</v>
          </cell>
          <cell r="B66">
            <v>3274.8077824784964</v>
          </cell>
          <cell r="C66">
            <v>3959.4300968275334</v>
          </cell>
          <cell r="D66">
            <v>3264.6520257806574</v>
          </cell>
          <cell r="E66">
            <v>454.67019999999997</v>
          </cell>
          <cell r="DO66">
            <v>66</v>
          </cell>
        </row>
        <row r="67">
          <cell r="A67" t="str">
            <v>Casper, WY Metro Area</v>
          </cell>
          <cell r="B67">
            <v>2922.7334528628012</v>
          </cell>
          <cell r="C67">
            <v>2865.7184794951286</v>
          </cell>
          <cell r="D67">
            <v>2589.3594806155147</v>
          </cell>
          <cell r="E67">
            <v>1059.2127</v>
          </cell>
          <cell r="F67">
            <v>1530.6803016993629</v>
          </cell>
          <cell r="G67">
            <v>424.3596</v>
          </cell>
          <cell r="H67">
            <v>0.99350000000000005</v>
          </cell>
          <cell r="K67">
            <v>5.0335000000000001</v>
          </cell>
          <cell r="DO67">
            <v>67</v>
          </cell>
        </row>
        <row r="68">
          <cell r="A68" t="str">
            <v>Cedar Rapids, IA Metro Area</v>
          </cell>
          <cell r="B68">
            <v>2115.3317001001669</v>
          </cell>
          <cell r="C68">
            <v>2874.0156438372996</v>
          </cell>
          <cell r="D68">
            <v>2399.7623424270223</v>
          </cell>
          <cell r="E68">
            <v>3185.5206047720408</v>
          </cell>
          <cell r="F68">
            <v>2218.6847264009139</v>
          </cell>
          <cell r="G68">
            <v>2013.3587785632456</v>
          </cell>
          <cell r="H68">
            <v>714.5053999999999</v>
          </cell>
          <cell r="I68">
            <v>410.59520000000003</v>
          </cell>
          <cell r="J68">
            <v>66.214167789291892</v>
          </cell>
          <cell r="L68">
            <v>53.735300000000009</v>
          </cell>
          <cell r="M68">
            <v>31.8626</v>
          </cell>
          <cell r="N68">
            <v>34.9589</v>
          </cell>
          <cell r="O68">
            <v>59.958773926139337</v>
          </cell>
          <cell r="R68">
            <v>206.53440000000001</v>
          </cell>
          <cell r="S68">
            <v>33.574399999999997</v>
          </cell>
          <cell r="T68">
            <v>27.738300000000002</v>
          </cell>
          <cell r="U68">
            <v>459.99119999999999</v>
          </cell>
          <cell r="X68">
            <v>335.1434832372758</v>
          </cell>
          <cell r="Y68">
            <v>12.415699999999999</v>
          </cell>
          <cell r="AF68">
            <v>283.63761842105259</v>
          </cell>
          <cell r="AG68">
            <v>15.786500000000002</v>
          </cell>
          <cell r="AK68">
            <v>16.7623</v>
          </cell>
          <cell r="DO68">
            <v>68</v>
          </cell>
        </row>
        <row r="69">
          <cell r="A69" t="str">
            <v>Champaign-Urbana, IL Metro Area</v>
          </cell>
          <cell r="B69">
            <v>20707.296662122124</v>
          </cell>
          <cell r="C69">
            <v>5878.2564987386804</v>
          </cell>
          <cell r="D69">
            <v>3507.5066559314496</v>
          </cell>
          <cell r="E69">
            <v>953.79083581944406</v>
          </cell>
          <cell r="F69">
            <v>541.14200000000005</v>
          </cell>
          <cell r="J69">
            <v>187.77523932871216</v>
          </cell>
          <cell r="L69">
            <v>432.00030000000004</v>
          </cell>
          <cell r="M69">
            <v>74.173400000000001</v>
          </cell>
          <cell r="O69">
            <v>544.25497189715247</v>
          </cell>
          <cell r="P69">
            <v>488.24870425960194</v>
          </cell>
          <cell r="Q69">
            <v>27.2973</v>
          </cell>
          <cell r="T69">
            <v>233.59039999999999</v>
          </cell>
          <cell r="Y69">
            <v>29.715600000000002</v>
          </cell>
          <cell r="Z69">
            <v>946.87669999999991</v>
          </cell>
          <cell r="AA69">
            <v>549.32989999999995</v>
          </cell>
          <cell r="AB69">
            <v>13.2477</v>
          </cell>
          <cell r="AD69">
            <v>21.5596</v>
          </cell>
          <cell r="AE69">
            <v>11.3598</v>
          </cell>
          <cell r="AY69">
            <v>13.245200000000001</v>
          </cell>
          <cell r="DO69">
            <v>69</v>
          </cell>
        </row>
        <row r="70">
          <cell r="A70" t="str">
            <v>Charleston, WV Metro Area</v>
          </cell>
          <cell r="B70">
            <v>3400.5850576336493</v>
          </cell>
          <cell r="C70">
            <v>3906.7428207642483</v>
          </cell>
          <cell r="D70">
            <v>1315.2893097020371</v>
          </cell>
          <cell r="E70">
            <v>1909.4661179344355</v>
          </cell>
          <cell r="F70">
            <v>1087.46471495983</v>
          </cell>
          <cell r="G70">
            <v>2240.1107312108556</v>
          </cell>
          <cell r="H70">
            <v>160.14006998916577</v>
          </cell>
          <cell r="I70">
            <v>640.75293339371979</v>
          </cell>
          <cell r="J70">
            <v>1662.28083483265</v>
          </cell>
          <cell r="K70">
            <v>1925.4536573635883</v>
          </cell>
          <cell r="L70">
            <v>838.00208786130679</v>
          </cell>
          <cell r="M70">
            <v>324.80027848828269</v>
          </cell>
          <cell r="N70">
            <v>645.93014658463323</v>
          </cell>
          <cell r="O70">
            <v>75.621600000000001</v>
          </cell>
          <cell r="P70">
            <v>41.932099999999998</v>
          </cell>
          <cell r="Q70">
            <v>61.900124981139193</v>
          </cell>
          <cell r="R70">
            <v>691.59019384174405</v>
          </cell>
          <cell r="S70">
            <v>61.51376594885599</v>
          </cell>
          <cell r="T70">
            <v>819.51052826154967</v>
          </cell>
          <cell r="U70">
            <v>1223.952957081771</v>
          </cell>
          <cell r="V70">
            <v>340.9085</v>
          </cell>
          <cell r="W70">
            <v>65.372319336219348</v>
          </cell>
          <cell r="X70">
            <v>105.54369999999999</v>
          </cell>
          <cell r="Y70">
            <v>277.27609999999999</v>
          </cell>
          <cell r="AA70">
            <v>53.734718599629865</v>
          </cell>
          <cell r="AC70">
            <v>25.267399999999999</v>
          </cell>
          <cell r="AF70">
            <v>23.474654133046439</v>
          </cell>
          <cell r="AG70">
            <v>71.364500000000007</v>
          </cell>
          <cell r="AJ70">
            <v>29.3536</v>
          </cell>
          <cell r="AK70">
            <v>53.025300000000001</v>
          </cell>
          <cell r="DO70">
            <v>70</v>
          </cell>
        </row>
        <row r="71">
          <cell r="A71" t="str">
            <v>Charleston-North Charleston-Summerville, SC Metro Area</v>
          </cell>
          <cell r="B71">
            <v>9961.2545258971568</v>
          </cell>
          <cell r="C71">
            <v>7057.0601664600244</v>
          </cell>
          <cell r="D71">
            <v>2992.196858374808</v>
          </cell>
          <cell r="E71">
            <v>1901.0268316858101</v>
          </cell>
          <cell r="F71">
            <v>2560.7423997974292</v>
          </cell>
          <cell r="G71">
            <v>1534.5337482383973</v>
          </cell>
          <cell r="H71">
            <v>2275.537546679614</v>
          </cell>
          <cell r="I71">
            <v>2341.5818445963505</v>
          </cell>
          <cell r="J71">
            <v>1007.3211404643312</v>
          </cell>
          <cell r="K71">
            <v>1700.2161733305402</v>
          </cell>
          <cell r="L71">
            <v>1084.3877298280674</v>
          </cell>
          <cell r="M71">
            <v>869.8483672782038</v>
          </cell>
          <cell r="N71">
            <v>1451.1133912205974</v>
          </cell>
          <cell r="O71">
            <v>2903.9222711916982</v>
          </cell>
          <cell r="P71">
            <v>2236.4687049096974</v>
          </cell>
          <cell r="Q71">
            <v>1923.785625313946</v>
          </cell>
          <cell r="R71">
            <v>855.7188455978976</v>
          </cell>
          <cell r="S71">
            <v>2388.4806316850058</v>
          </cell>
          <cell r="T71">
            <v>2606.2215946746528</v>
          </cell>
          <cell r="U71">
            <v>2216.7887327672643</v>
          </cell>
          <cell r="V71">
            <v>1885.3324138411363</v>
          </cell>
          <cell r="W71">
            <v>2514.691064435614</v>
          </cell>
          <cell r="X71">
            <v>1271.1874206558828</v>
          </cell>
          <cell r="Y71">
            <v>1342.0553626637034</v>
          </cell>
          <cell r="Z71">
            <v>570.42622652084765</v>
          </cell>
          <cell r="AA71">
            <v>317.32350000000002</v>
          </cell>
          <cell r="AB71">
            <v>212.51322782487389</v>
          </cell>
          <cell r="AC71">
            <v>923.78890000000001</v>
          </cell>
          <cell r="AD71">
            <v>384.4533798698144</v>
          </cell>
          <cell r="AE71">
            <v>260.62897010618366</v>
          </cell>
          <cell r="AF71">
            <v>83.211860973875957</v>
          </cell>
          <cell r="AK71">
            <v>45.139372743459802</v>
          </cell>
          <cell r="AL71">
            <v>140.42150000000001</v>
          </cell>
          <cell r="AR71">
            <v>59.776874690390343</v>
          </cell>
          <cell r="AU71">
            <v>33.796399999999998</v>
          </cell>
          <cell r="AW71">
            <v>83.369900000000001</v>
          </cell>
          <cell r="AX71">
            <v>30.428199999999997</v>
          </cell>
          <cell r="DO71">
            <v>71</v>
          </cell>
        </row>
        <row r="72">
          <cell r="A72" t="str">
            <v>Charlotte-Gastonia-Rock Hill, NC-SC Metro Area</v>
          </cell>
          <cell r="B72">
            <v>6203.9450774831848</v>
          </cell>
          <cell r="C72">
            <v>3350.5598593896339</v>
          </cell>
          <cell r="D72">
            <v>3369.2910492347164</v>
          </cell>
          <cell r="E72">
            <v>2654.2611809688751</v>
          </cell>
          <cell r="F72">
            <v>3224.3717114716187</v>
          </cell>
          <cell r="G72">
            <v>3377.1864577367278</v>
          </cell>
          <cell r="H72">
            <v>3178.546076754762</v>
          </cell>
          <cell r="I72">
            <v>3317.7509101314245</v>
          </cell>
          <cell r="J72">
            <v>2267.7953314163938</v>
          </cell>
          <cell r="K72">
            <v>1920.3538556884189</v>
          </cell>
          <cell r="L72">
            <v>1953.5485757502595</v>
          </cell>
          <cell r="M72">
            <v>1933.0291301145471</v>
          </cell>
          <cell r="N72">
            <v>1552.015750310522</v>
          </cell>
          <cell r="O72">
            <v>1393.3892478910043</v>
          </cell>
          <cell r="P72">
            <v>1148.3640756402174</v>
          </cell>
          <cell r="Q72">
            <v>1175.5906703035087</v>
          </cell>
          <cell r="R72">
            <v>1220.9326368610027</v>
          </cell>
          <cell r="S72">
            <v>1146.5619003660177</v>
          </cell>
          <cell r="T72">
            <v>1438.6101837958042</v>
          </cell>
          <cell r="U72">
            <v>1295.8746293249035</v>
          </cell>
          <cell r="V72">
            <v>1373.8726336375769</v>
          </cell>
          <cell r="W72">
            <v>1272.982243046117</v>
          </cell>
          <cell r="X72">
            <v>1658.2531102187529</v>
          </cell>
          <cell r="Y72">
            <v>1077.5151578260236</v>
          </cell>
          <cell r="Z72">
            <v>369.78952283709674</v>
          </cell>
          <cell r="AA72">
            <v>285.57179837230711</v>
          </cell>
          <cell r="AB72">
            <v>129.53609910921767</v>
          </cell>
          <cell r="AC72">
            <v>361.60276038675261</v>
          </cell>
          <cell r="AD72">
            <v>196.22918327438572</v>
          </cell>
          <cell r="AG72">
            <v>80.379926979472145</v>
          </cell>
          <cell r="AH72">
            <v>248.80008971174345</v>
          </cell>
          <cell r="AI72">
            <v>332.96129999999999</v>
          </cell>
          <cell r="AK72">
            <v>34.2104</v>
          </cell>
          <cell r="AM72">
            <v>66.725099999999998</v>
          </cell>
          <cell r="AQ72">
            <v>25.493400000000001</v>
          </cell>
          <cell r="AU72">
            <v>73.907399999999996</v>
          </cell>
          <cell r="AV72">
            <v>173.2681</v>
          </cell>
          <cell r="AZ72">
            <v>27.366800000000001</v>
          </cell>
          <cell r="BA72">
            <v>33.565199999999997</v>
          </cell>
          <cell r="DO72">
            <v>72</v>
          </cell>
        </row>
        <row r="73">
          <cell r="A73" t="str">
            <v>Charlottesville, VA Metro Area</v>
          </cell>
          <cell r="B73">
            <v>4371.6810280057362</v>
          </cell>
          <cell r="C73">
            <v>7633.224656698445</v>
          </cell>
          <cell r="D73">
            <v>2181.9201035994206</v>
          </cell>
          <cell r="E73">
            <v>2845.3735486377045</v>
          </cell>
          <cell r="G73">
            <v>176.2098</v>
          </cell>
          <cell r="H73">
            <v>362.64138296916633</v>
          </cell>
          <cell r="I73">
            <v>47.003500000000003</v>
          </cell>
          <cell r="K73">
            <v>172.48779999999999</v>
          </cell>
          <cell r="M73">
            <v>718.1744794714748</v>
          </cell>
          <cell r="N73">
            <v>298.16089223501393</v>
          </cell>
          <cell r="O73">
            <v>47.295699999999997</v>
          </cell>
          <cell r="P73">
            <v>267.31060000000002</v>
          </cell>
          <cell r="Q73">
            <v>45.821027841026698</v>
          </cell>
          <cell r="R73">
            <v>84.328999999999994</v>
          </cell>
          <cell r="U73">
            <v>66.542500000000004</v>
          </cell>
          <cell r="V73">
            <v>41.137999999999998</v>
          </cell>
          <cell r="W73">
            <v>54.516599999999997</v>
          </cell>
          <cell r="AD73">
            <v>29.167400000000001</v>
          </cell>
          <cell r="AG73">
            <v>23.791499999999999</v>
          </cell>
          <cell r="DO73">
            <v>73</v>
          </cell>
        </row>
        <row r="74">
          <cell r="A74" t="str">
            <v>Chattanooga, TN-GA Metro Area</v>
          </cell>
          <cell r="B74">
            <v>3424.9780121711779</v>
          </cell>
          <cell r="C74">
            <v>2723.9972030765475</v>
          </cell>
          <cell r="D74">
            <v>2324.6395791478244</v>
          </cell>
          <cell r="E74">
            <v>2053.8460421609957</v>
          </cell>
          <cell r="F74">
            <v>2246.9912300479436</v>
          </cell>
          <cell r="G74">
            <v>1593.2448449299332</v>
          </cell>
          <cell r="H74">
            <v>1521.9341374916678</v>
          </cell>
          <cell r="I74">
            <v>1270.8628687743721</v>
          </cell>
          <cell r="J74">
            <v>798.13027391475453</v>
          </cell>
          <cell r="K74">
            <v>1143.9137256024649</v>
          </cell>
          <cell r="L74">
            <v>1074.4869585522915</v>
          </cell>
          <cell r="M74">
            <v>1018.0721569337701</v>
          </cell>
          <cell r="N74">
            <v>597.92882436297532</v>
          </cell>
          <cell r="O74">
            <v>472.21357068290291</v>
          </cell>
          <cell r="P74">
            <v>658.74992621273168</v>
          </cell>
          <cell r="Q74">
            <v>542.4592613993276</v>
          </cell>
          <cell r="R74">
            <v>263.60328162382172</v>
          </cell>
          <cell r="S74">
            <v>152.31547157163109</v>
          </cell>
          <cell r="T74">
            <v>53.597300000000004</v>
          </cell>
          <cell r="U74">
            <v>92.812019573470309</v>
          </cell>
          <cell r="V74">
            <v>25.388500000000001</v>
          </cell>
          <cell r="W74">
            <v>183.55082309462918</v>
          </cell>
          <cell r="X74">
            <v>202.34578059822749</v>
          </cell>
          <cell r="Y74">
            <v>542.10997185330245</v>
          </cell>
          <cell r="AA74">
            <v>113.8372</v>
          </cell>
          <cell r="AC74">
            <v>81.068200000000004</v>
          </cell>
          <cell r="AD74">
            <v>21.768910772243984</v>
          </cell>
          <cell r="DO74">
            <v>74</v>
          </cell>
        </row>
        <row r="75">
          <cell r="A75" t="str">
            <v>Cheyenne, WY Metro Area</v>
          </cell>
          <cell r="B75">
            <v>2774.0063002715915</v>
          </cell>
          <cell r="C75">
            <v>2892.8140365965769</v>
          </cell>
          <cell r="D75">
            <v>1379.8749707123666</v>
          </cell>
          <cell r="E75">
            <v>2289.3950130257708</v>
          </cell>
          <cell r="F75">
            <v>737.42639999999994</v>
          </cell>
          <cell r="I75">
            <v>8.3546999999999993</v>
          </cell>
          <cell r="L75">
            <v>4.2013999999999996</v>
          </cell>
          <cell r="X75">
            <v>6.7662000000000004</v>
          </cell>
          <cell r="DO75">
            <v>75</v>
          </cell>
        </row>
        <row r="76">
          <cell r="A76" t="str">
            <v>Chicago-Joliet-Naperville, IL-IN-WI Metro Area</v>
          </cell>
          <cell r="B76">
            <v>30240.222981004434</v>
          </cell>
          <cell r="C76">
            <v>30709.824502318836</v>
          </cell>
          <cell r="D76">
            <v>21980.878277825854</v>
          </cell>
          <cell r="E76">
            <v>22866.619715966739</v>
          </cell>
          <cell r="F76">
            <v>22909.593941408722</v>
          </cell>
          <cell r="G76">
            <v>23441.838063471761</v>
          </cell>
          <cell r="H76">
            <v>21500.950275938354</v>
          </cell>
          <cell r="I76">
            <v>22003.713017199992</v>
          </cell>
          <cell r="J76">
            <v>17330.835896854624</v>
          </cell>
          <cell r="K76">
            <v>14004.271325905383</v>
          </cell>
          <cell r="L76">
            <v>9398.9220206069367</v>
          </cell>
          <cell r="M76">
            <v>7999.4568022514513</v>
          </cell>
          <cell r="N76">
            <v>8124.4014527319205</v>
          </cell>
          <cell r="O76">
            <v>6534.2297724595264</v>
          </cell>
          <cell r="P76">
            <v>5364.2213739191238</v>
          </cell>
          <cell r="Q76">
            <v>5040.6728943634007</v>
          </cell>
          <cell r="R76">
            <v>4764.4925373539663</v>
          </cell>
          <cell r="S76">
            <v>4883.2410305348021</v>
          </cell>
          <cell r="T76">
            <v>4325.066183081999</v>
          </cell>
          <cell r="U76">
            <v>4645.590225624117</v>
          </cell>
          <cell r="V76">
            <v>4561.1455791731278</v>
          </cell>
          <cell r="W76">
            <v>3135.4661015287902</v>
          </cell>
          <cell r="X76">
            <v>3991.7842893146808</v>
          </cell>
          <cell r="Y76">
            <v>4044.5037851114225</v>
          </cell>
          <cell r="Z76">
            <v>3759.5358064502789</v>
          </cell>
          <cell r="AA76">
            <v>3605.8033253071676</v>
          </cell>
          <cell r="AB76">
            <v>4352.0164056146714</v>
          </cell>
          <cell r="AC76">
            <v>3490.9622228421758</v>
          </cell>
          <cell r="AD76">
            <v>3234.0662586013814</v>
          </cell>
          <cell r="AE76">
            <v>2921.2691390731334</v>
          </cell>
          <cell r="AF76">
            <v>2390.3231643853628</v>
          </cell>
          <cell r="AG76">
            <v>2853.5687015219137</v>
          </cell>
          <cell r="AH76">
            <v>2787.9543411819245</v>
          </cell>
          <cell r="AI76">
            <v>3276.4090679839464</v>
          </cell>
          <cell r="AJ76">
            <v>4987.8336562377226</v>
          </cell>
          <cell r="AK76">
            <v>4887.8044293597168</v>
          </cell>
          <cell r="AL76">
            <v>3271.1381735614841</v>
          </cell>
          <cell r="AM76">
            <v>2712.9684382022974</v>
          </cell>
          <cell r="AN76">
            <v>2462.516011390519</v>
          </cell>
          <cell r="AO76">
            <v>1860.0151541363362</v>
          </cell>
          <cell r="AP76">
            <v>1598.1325516118723</v>
          </cell>
          <cell r="AQ76">
            <v>2341.5688983658433</v>
          </cell>
          <cell r="AR76">
            <v>1669.5346055193627</v>
          </cell>
          <cell r="AS76">
            <v>1917.9784404143943</v>
          </cell>
          <cell r="AT76">
            <v>1956.4991731433397</v>
          </cell>
          <cell r="AU76">
            <v>703.04708920135545</v>
          </cell>
          <cell r="AV76">
            <v>931.83841777768896</v>
          </cell>
          <cell r="AW76">
            <v>1543.1138006802964</v>
          </cell>
          <cell r="AX76">
            <v>2956.3097072159567</v>
          </cell>
          <cell r="AY76">
            <v>2138.1627610557548</v>
          </cell>
          <cell r="AZ76">
            <v>3498.7884839289745</v>
          </cell>
          <cell r="BA76">
            <v>1906.3659951251366</v>
          </cell>
          <cell r="BB76">
            <v>1381.2315322403379</v>
          </cell>
          <cell r="BC76">
            <v>519.29685242662458</v>
          </cell>
          <cell r="BD76">
            <v>963.99883934351237</v>
          </cell>
          <cell r="BE76">
            <v>901.08490597530874</v>
          </cell>
          <cell r="BF76">
            <v>334.88105617400544</v>
          </cell>
          <cell r="BG76">
            <v>2347.6161208798776</v>
          </cell>
          <cell r="BH76">
            <v>3680.2353261860958</v>
          </cell>
          <cell r="BI76">
            <v>2320.0853480820779</v>
          </cell>
          <cell r="BJ76">
            <v>59.750900000000001</v>
          </cell>
          <cell r="BK76">
            <v>19.311900000000001</v>
          </cell>
          <cell r="BL76">
            <v>276.09554244621853</v>
          </cell>
          <cell r="BM76">
            <v>114.5996061878152</v>
          </cell>
          <cell r="BS76">
            <v>72.690700000000007</v>
          </cell>
          <cell r="BT76">
            <v>52.165799999999997</v>
          </cell>
          <cell r="BX76">
            <v>28.196100000000001</v>
          </cell>
          <cell r="BZ76">
            <v>34.331400000000002</v>
          </cell>
          <cell r="CA76">
            <v>30.467099999999999</v>
          </cell>
          <cell r="DO76">
            <v>76</v>
          </cell>
        </row>
        <row r="77">
          <cell r="A77" t="str">
            <v>Chico, CA Metro Area</v>
          </cell>
          <cell r="B77">
            <v>3935.6732831449626</v>
          </cell>
          <cell r="C77">
            <v>4771.3141538667996</v>
          </cell>
          <cell r="D77">
            <v>4130.8614990453389</v>
          </cell>
          <cell r="E77">
            <v>2103.2101252825314</v>
          </cell>
          <cell r="F77">
            <v>1030.1985999999999</v>
          </cell>
          <cell r="G77">
            <v>43.40235217234541</v>
          </cell>
          <cell r="J77">
            <v>24.4193</v>
          </cell>
          <cell r="L77">
            <v>97.822100000000006</v>
          </cell>
          <cell r="M77">
            <v>1290.328</v>
          </cell>
          <cell r="N77">
            <v>1206.7735</v>
          </cell>
          <cell r="O77">
            <v>809.77279025470659</v>
          </cell>
          <cell r="P77">
            <v>1423.7783269397592</v>
          </cell>
          <cell r="R77">
            <v>24.349499999999999</v>
          </cell>
          <cell r="U77">
            <v>535.57518297872343</v>
          </cell>
          <cell r="V77">
            <v>109.2593</v>
          </cell>
          <cell r="W77">
            <v>2608.2642000000001</v>
          </cell>
          <cell r="X77">
            <v>1424.1837504075861</v>
          </cell>
          <cell r="Y77">
            <v>756.39861019301122</v>
          </cell>
          <cell r="Z77">
            <v>203.9925818276823</v>
          </cell>
          <cell r="AA77">
            <v>283.98982509202455</v>
          </cell>
          <cell r="AB77">
            <v>100.90689999999999</v>
          </cell>
          <cell r="AC77">
            <v>194.9736</v>
          </cell>
          <cell r="AD77">
            <v>40.737699999999997</v>
          </cell>
          <cell r="DO77">
            <v>77</v>
          </cell>
        </row>
        <row r="78">
          <cell r="A78" t="str">
            <v>Cincinnati-Middletown, OH-KY-IN Metro Area</v>
          </cell>
          <cell r="B78">
            <v>10610.5225223743</v>
          </cell>
          <cell r="C78">
            <v>8120.4583197422908</v>
          </cell>
          <cell r="D78">
            <v>5999.4662773447881</v>
          </cell>
          <cell r="E78">
            <v>4388.4482260784398</v>
          </cell>
          <cell r="F78">
            <v>4417.2590364764046</v>
          </cell>
          <cell r="G78">
            <v>4204.161043893414</v>
          </cell>
          <cell r="H78">
            <v>3493.3075122136534</v>
          </cell>
          <cell r="I78">
            <v>3345.5656651179097</v>
          </cell>
          <cell r="J78">
            <v>2881.2577128786152</v>
          </cell>
          <cell r="K78">
            <v>3009.6836986423068</v>
          </cell>
          <cell r="L78">
            <v>2556.8047313028087</v>
          </cell>
          <cell r="M78">
            <v>1762.8624783845114</v>
          </cell>
          <cell r="N78">
            <v>1783.5901450092376</v>
          </cell>
          <cell r="O78">
            <v>1863.7532937788801</v>
          </cell>
          <cell r="P78">
            <v>1386.4765928795637</v>
          </cell>
          <cell r="Q78">
            <v>1591.7211428377107</v>
          </cell>
          <cell r="R78">
            <v>1587.8260576236125</v>
          </cell>
          <cell r="S78">
            <v>1830.5647352318306</v>
          </cell>
          <cell r="T78">
            <v>1717.0480778848273</v>
          </cell>
          <cell r="U78">
            <v>1798.4654386488016</v>
          </cell>
          <cell r="V78">
            <v>1440.2294719499498</v>
          </cell>
          <cell r="W78">
            <v>2063.8415051063234</v>
          </cell>
          <cell r="X78">
            <v>1928.5762577944547</v>
          </cell>
          <cell r="Y78">
            <v>505.39316731518352</v>
          </cell>
          <cell r="Z78">
            <v>577.24413089507186</v>
          </cell>
          <cell r="AA78">
            <v>592.6612356080899</v>
          </cell>
          <cell r="AB78">
            <v>957.92134175574154</v>
          </cell>
          <cell r="AC78">
            <v>332.80710107654011</v>
          </cell>
          <cell r="AD78">
            <v>2499.7148847071076</v>
          </cell>
          <cell r="AE78">
            <v>1570.6914898592479</v>
          </cell>
          <cell r="AF78">
            <v>4468.7891580912728</v>
          </cell>
          <cell r="AG78">
            <v>199.92491916235261</v>
          </cell>
          <cell r="AH78">
            <v>197.16964045650948</v>
          </cell>
          <cell r="AI78">
            <v>1837.1841185485505</v>
          </cell>
          <cell r="AJ78">
            <v>1027.2843241736473</v>
          </cell>
          <cell r="AK78">
            <v>1766.668110995671</v>
          </cell>
          <cell r="AL78">
            <v>534.77309429716547</v>
          </cell>
          <cell r="AM78">
            <v>154.5504454407891</v>
          </cell>
          <cell r="AO78">
            <v>39.616500000000002</v>
          </cell>
          <cell r="AP78">
            <v>48.9373</v>
          </cell>
          <cell r="AQ78">
            <v>76.082400000000007</v>
          </cell>
          <cell r="AR78">
            <v>55.524900000000009</v>
          </cell>
          <cell r="AS78">
            <v>91.541399999999996</v>
          </cell>
          <cell r="AT78">
            <v>56.174199999999999</v>
          </cell>
          <cell r="AY78">
            <v>63.048099999999998</v>
          </cell>
          <cell r="DO78">
            <v>78</v>
          </cell>
        </row>
        <row r="79">
          <cell r="A79" t="str">
            <v>Clarksville, TN-KY Metro Area</v>
          </cell>
          <cell r="B79">
            <v>2064.1255131343787</v>
          </cell>
          <cell r="C79">
            <v>1443.8131635566442</v>
          </cell>
          <cell r="D79">
            <v>894.88995382716041</v>
          </cell>
          <cell r="E79">
            <v>1353.0837527947856</v>
          </cell>
          <cell r="F79">
            <v>1542.8936211653083</v>
          </cell>
          <cell r="G79">
            <v>1401.5080234796837</v>
          </cell>
          <cell r="H79">
            <v>1289.5256100997506</v>
          </cell>
          <cell r="I79">
            <v>1135.0662803864921</v>
          </cell>
          <cell r="J79">
            <v>376.72830100165629</v>
          </cell>
          <cell r="K79">
            <v>646.1232</v>
          </cell>
          <cell r="L79">
            <v>1054.5754381038746</v>
          </cell>
          <cell r="M79">
            <v>6886.0194000000001</v>
          </cell>
          <cell r="O79">
            <v>0</v>
          </cell>
          <cell r="R79">
            <v>33.562800000000003</v>
          </cell>
          <cell r="T79">
            <v>22.2196</v>
          </cell>
          <cell r="X79">
            <v>512.14722308981243</v>
          </cell>
          <cell r="Y79">
            <v>725.3637199321596</v>
          </cell>
          <cell r="Z79">
            <v>2207.7068072743209</v>
          </cell>
          <cell r="AA79">
            <v>1689.494986062613</v>
          </cell>
          <cell r="AB79">
            <v>37.386299999999999</v>
          </cell>
          <cell r="AC79">
            <v>66.577600000000004</v>
          </cell>
          <cell r="AE79">
            <v>42.1982</v>
          </cell>
          <cell r="AH79">
            <v>63.058100000000003</v>
          </cell>
          <cell r="AI79">
            <v>0</v>
          </cell>
          <cell r="AJ79">
            <v>28.236799999999999</v>
          </cell>
          <cell r="AK79">
            <v>41.399700000000003</v>
          </cell>
          <cell r="AM79">
            <v>17.494800000000001</v>
          </cell>
          <cell r="AN79">
            <v>34.196399999999997</v>
          </cell>
          <cell r="AQ79">
            <v>0.1757</v>
          </cell>
          <cell r="DO79">
            <v>79</v>
          </cell>
        </row>
        <row r="80">
          <cell r="A80" t="str">
            <v>Cleveland, TN Metro Area</v>
          </cell>
          <cell r="B80">
            <v>3866.4769341883066</v>
          </cell>
          <cell r="C80">
            <v>1591.2082354383049</v>
          </cell>
          <cell r="D80">
            <v>1444.416833496985</v>
          </cell>
          <cell r="E80">
            <v>567.26750000000004</v>
          </cell>
          <cell r="G80">
            <v>240.70697186508707</v>
          </cell>
          <cell r="H80">
            <v>202.23823461622092</v>
          </cell>
          <cell r="J80">
            <v>119.12730000000001</v>
          </cell>
          <cell r="L80">
            <v>38.790900000000001</v>
          </cell>
          <cell r="O80">
            <v>50.297499999999999</v>
          </cell>
          <cell r="S80">
            <v>30.748499999999996</v>
          </cell>
          <cell r="AE80">
            <v>36.844799999999999</v>
          </cell>
          <cell r="AF80">
            <v>28.133500000000002</v>
          </cell>
          <cell r="DO80">
            <v>80</v>
          </cell>
        </row>
        <row r="81">
          <cell r="A81" t="str">
            <v>Cleveland-Elyria-Mentor, OH Metro Area</v>
          </cell>
          <cell r="B81">
            <v>3584.9999632773729</v>
          </cell>
          <cell r="C81">
            <v>6344.9948156544315</v>
          </cell>
          <cell r="D81">
            <v>6401.503157249138</v>
          </cell>
          <cell r="E81">
            <v>7881.6930248644057</v>
          </cell>
          <cell r="F81">
            <v>8746.8379671317725</v>
          </cell>
          <cell r="G81">
            <v>7240.4362430846877</v>
          </cell>
          <cell r="H81">
            <v>6529.8284880453311</v>
          </cell>
          <cell r="I81">
            <v>5691.9476170917269</v>
          </cell>
          <cell r="J81">
            <v>5045.7996378635989</v>
          </cell>
          <cell r="K81">
            <v>4179.6896163042411</v>
          </cell>
          <cell r="L81">
            <v>3651.3376005365394</v>
          </cell>
          <cell r="M81">
            <v>3003.5360790380796</v>
          </cell>
          <cell r="N81">
            <v>2976.7018690784298</v>
          </cell>
          <cell r="O81">
            <v>2525.0781491382959</v>
          </cell>
          <cell r="P81">
            <v>2233.000457241506</v>
          </cell>
          <cell r="Q81">
            <v>2465.2763607588945</v>
          </cell>
          <cell r="R81">
            <v>2082.4033727994993</v>
          </cell>
          <cell r="S81">
            <v>2179.1326068304438</v>
          </cell>
          <cell r="T81">
            <v>1258.7662745461564</v>
          </cell>
          <cell r="U81">
            <v>1583.5472619565435</v>
          </cell>
          <cell r="V81">
            <v>1603.6695785838187</v>
          </cell>
          <cell r="W81">
            <v>2711.4130591259641</v>
          </cell>
          <cell r="X81">
            <v>3334.0797811022931</v>
          </cell>
          <cell r="Y81">
            <v>1933.3925636647143</v>
          </cell>
          <cell r="Z81">
            <v>1730.479385974601</v>
          </cell>
          <cell r="AA81">
            <v>2025.4853384153391</v>
          </cell>
          <cell r="AB81">
            <v>2751.8237690740443</v>
          </cell>
          <cell r="AC81">
            <v>2819.8159800998715</v>
          </cell>
          <cell r="AD81">
            <v>834.78603819753891</v>
          </cell>
          <cell r="AE81">
            <v>538.51801280875839</v>
          </cell>
          <cell r="AF81">
            <v>557.25091191797344</v>
          </cell>
          <cell r="AG81">
            <v>618.1202768782058</v>
          </cell>
          <cell r="AH81">
            <v>879.74512305547933</v>
          </cell>
          <cell r="AI81">
            <v>329.84457134010933</v>
          </cell>
          <cell r="AJ81">
            <v>453.99604278564652</v>
          </cell>
          <cell r="AK81">
            <v>229.66013363561422</v>
          </cell>
          <cell r="AL81">
            <v>480.46268758421559</v>
          </cell>
          <cell r="AM81">
            <v>277.04638902748644</v>
          </cell>
          <cell r="AN81">
            <v>609.51499592006655</v>
          </cell>
          <cell r="AO81">
            <v>1155.3050504617968</v>
          </cell>
          <cell r="AQ81">
            <v>604.40880000000004</v>
          </cell>
          <cell r="DO81">
            <v>81</v>
          </cell>
        </row>
        <row r="82">
          <cell r="A82" t="str">
            <v>Coeur d'Alene, ID Metro Area</v>
          </cell>
          <cell r="B82">
            <v>3597.0897375204299</v>
          </cell>
          <cell r="C82">
            <v>3950.096</v>
          </cell>
          <cell r="D82">
            <v>2428.5307554111992</v>
          </cell>
          <cell r="E82">
            <v>1218.5598</v>
          </cell>
          <cell r="F82">
            <v>792.51923747624994</v>
          </cell>
          <cell r="G82">
            <v>1023.2504083562902</v>
          </cell>
          <cell r="H82">
            <v>2248.2457865477631</v>
          </cell>
          <cell r="I82">
            <v>2062.1664999999998</v>
          </cell>
          <cell r="K82">
            <v>1807.6818000000001</v>
          </cell>
          <cell r="L82">
            <v>141.78910986202956</v>
          </cell>
          <cell r="M82">
            <v>100.42768442736549</v>
          </cell>
          <cell r="P82">
            <v>56.130699999999997</v>
          </cell>
          <cell r="R82">
            <v>14.192500000000001</v>
          </cell>
          <cell r="T82">
            <v>73.346400000000003</v>
          </cell>
          <cell r="DO82">
            <v>82</v>
          </cell>
        </row>
        <row r="83">
          <cell r="A83" t="str">
            <v>College Station-Bryan, TX Metro Area</v>
          </cell>
          <cell r="B83">
            <v>6545.9948318694833</v>
          </cell>
          <cell r="C83">
            <v>5490.3313603156448</v>
          </cell>
          <cell r="D83">
            <v>2871.2749414337673</v>
          </cell>
          <cell r="E83">
            <v>3219.8362809686469</v>
          </cell>
          <cell r="F83">
            <v>2719.1649529516885</v>
          </cell>
          <cell r="G83">
            <v>2282.3345528006303</v>
          </cell>
          <cell r="H83">
            <v>1012.0096130885918</v>
          </cell>
          <cell r="I83">
            <v>81.028053328123903</v>
          </cell>
          <cell r="K83">
            <v>45.182228370330257</v>
          </cell>
          <cell r="P83">
            <v>15.6333</v>
          </cell>
          <cell r="S83">
            <v>19.9556</v>
          </cell>
          <cell r="T83">
            <v>13.351563475665747</v>
          </cell>
          <cell r="Y83">
            <v>176.01379207449111</v>
          </cell>
          <cell r="AC83">
            <v>17.315899999999999</v>
          </cell>
          <cell r="AG83">
            <v>13.742100000000001</v>
          </cell>
          <cell r="AH83">
            <v>16.264800000000001</v>
          </cell>
          <cell r="AQ83">
            <v>14.2364</v>
          </cell>
          <cell r="DO83">
            <v>83</v>
          </cell>
        </row>
        <row r="84">
          <cell r="A84" t="str">
            <v>Colorado Springs, CO Metro Area</v>
          </cell>
          <cell r="B84">
            <v>4368.1287807244071</v>
          </cell>
          <cell r="C84">
            <v>3844.9707616137121</v>
          </cell>
          <cell r="D84">
            <v>3929.7109227869332</v>
          </cell>
          <cell r="E84">
            <v>4267.3341008253592</v>
          </cell>
          <cell r="F84">
            <v>4030.9462722949602</v>
          </cell>
          <cell r="G84">
            <v>4199.8226304382224</v>
          </cell>
          <cell r="H84">
            <v>3747.286553650837</v>
          </cell>
          <cell r="I84">
            <v>3746.2527332787972</v>
          </cell>
          <cell r="J84">
            <v>3478.0374280768574</v>
          </cell>
          <cell r="K84">
            <v>4058.5217396201515</v>
          </cell>
          <cell r="L84">
            <v>1206.787055581935</v>
          </cell>
          <cell r="M84">
            <v>1393.26781065104</v>
          </cell>
          <cell r="N84">
            <v>680.83849674060662</v>
          </cell>
          <cell r="O84">
            <v>175.53975979926679</v>
          </cell>
          <cell r="P84">
            <v>974.03003358208957</v>
          </cell>
          <cell r="Q84">
            <v>129.22511772163199</v>
          </cell>
          <cell r="R84">
            <v>419.65279700508853</v>
          </cell>
          <cell r="S84">
            <v>557.08540000000005</v>
          </cell>
          <cell r="T84">
            <v>65.799228888698337</v>
          </cell>
          <cell r="U84">
            <v>629.09073545977003</v>
          </cell>
          <cell r="W84">
            <v>32.289155405220718</v>
          </cell>
          <cell r="X84">
            <v>32.746200000000002</v>
          </cell>
          <cell r="AC84">
            <v>20.599</v>
          </cell>
          <cell r="AE84">
            <v>6.2298</v>
          </cell>
          <cell r="DO84">
            <v>84</v>
          </cell>
        </row>
        <row r="85">
          <cell r="A85" t="str">
            <v>Columbia, MO Metro Area</v>
          </cell>
          <cell r="B85">
            <v>6706.6439467597002</v>
          </cell>
          <cell r="C85">
            <v>2553.7540948906249</v>
          </cell>
          <cell r="D85">
            <v>1701.3221596679623</v>
          </cell>
          <cell r="E85">
            <v>1197.8454226538879</v>
          </cell>
          <cell r="F85">
            <v>651.63752171226838</v>
          </cell>
          <cell r="H85">
            <v>69.785522284494263</v>
          </cell>
          <cell r="I85">
            <v>56.029600000000002</v>
          </cell>
          <cell r="N85">
            <v>53.252308459142107</v>
          </cell>
          <cell r="O85">
            <v>73.041700000000006</v>
          </cell>
          <cell r="V85">
            <v>160.6139</v>
          </cell>
          <cell r="W85">
            <v>16.666499999999999</v>
          </cell>
          <cell r="Y85">
            <v>51.819499999999998</v>
          </cell>
          <cell r="AD85">
            <v>16.073</v>
          </cell>
          <cell r="DO85">
            <v>85</v>
          </cell>
        </row>
        <row r="86">
          <cell r="A86" t="str">
            <v>Columbia, SC Metro Area</v>
          </cell>
          <cell r="B86">
            <v>2839.1454187676954</v>
          </cell>
          <cell r="C86">
            <v>4629.5327450321265</v>
          </cell>
          <cell r="D86">
            <v>2907.9884886060981</v>
          </cell>
          <cell r="E86">
            <v>2221.7222240353749</v>
          </cell>
          <cell r="F86">
            <v>2208.0398612731337</v>
          </cell>
          <cell r="G86">
            <v>2111.1027345233169</v>
          </cell>
          <cell r="H86">
            <v>2110.3435977073891</v>
          </cell>
          <cell r="I86">
            <v>1952.7572214529418</v>
          </cell>
          <cell r="J86">
            <v>1134.0751236796614</v>
          </cell>
          <cell r="K86">
            <v>1006.8959648246174</v>
          </cell>
          <cell r="L86">
            <v>1630.8390650563949</v>
          </cell>
          <cell r="M86">
            <v>1167.7321730606602</v>
          </cell>
          <cell r="N86">
            <v>1743.8969964990229</v>
          </cell>
          <cell r="O86">
            <v>1233.5829550900405</v>
          </cell>
          <cell r="P86">
            <v>1291.3953207068271</v>
          </cell>
          <cell r="Q86">
            <v>419.16460095690286</v>
          </cell>
          <cell r="R86">
            <v>228.447133765015</v>
          </cell>
          <cell r="S86">
            <v>239.53733756725146</v>
          </cell>
          <cell r="T86">
            <v>462.2203014501697</v>
          </cell>
          <cell r="U86">
            <v>209.437919275155</v>
          </cell>
          <cell r="V86">
            <v>156.74658407508028</v>
          </cell>
          <cell r="W86">
            <v>125.5162255654742</v>
          </cell>
          <cell r="X86">
            <v>167.56139425485961</v>
          </cell>
          <cell r="Y86">
            <v>117.85022895847213</v>
          </cell>
          <cell r="Z86">
            <v>70.691100000000006</v>
          </cell>
          <cell r="AA86">
            <v>317.33628786364449</v>
          </cell>
          <cell r="AB86">
            <v>72.725748521286974</v>
          </cell>
          <cell r="AD86">
            <v>80.117199999999997</v>
          </cell>
          <cell r="AE86">
            <v>397.83154026344243</v>
          </cell>
          <cell r="AF86">
            <v>126.13424444022411</v>
          </cell>
          <cell r="AG86">
            <v>15.914199999999999</v>
          </cell>
          <cell r="AH86">
            <v>18.619299999999999</v>
          </cell>
          <cell r="AI86">
            <v>245.37242754237286</v>
          </cell>
          <cell r="AK86">
            <v>19.221800000000002</v>
          </cell>
          <cell r="AL86">
            <v>21.614999999999998</v>
          </cell>
          <cell r="AM86">
            <v>40.967023326493972</v>
          </cell>
          <cell r="AO86">
            <v>24.789199999999997</v>
          </cell>
          <cell r="AQ86">
            <v>75.346199999999996</v>
          </cell>
          <cell r="AT86">
            <v>45.816600000000001</v>
          </cell>
          <cell r="AV86">
            <v>26.274799999999999</v>
          </cell>
          <cell r="AW86">
            <v>27.786000000000001</v>
          </cell>
          <cell r="DO86">
            <v>86</v>
          </cell>
        </row>
        <row r="87">
          <cell r="A87" t="str">
            <v>Columbus, GA-AL Metro Area</v>
          </cell>
          <cell r="B87">
            <v>2207.4112165006495</v>
          </cell>
          <cell r="C87">
            <v>3052.7289860014803</v>
          </cell>
          <cell r="D87">
            <v>2490.8994547328321</v>
          </cell>
          <cell r="E87">
            <v>2233.6017231373194</v>
          </cell>
          <cell r="F87">
            <v>2763.3537139665063</v>
          </cell>
          <cell r="G87">
            <v>1993.4193516676617</v>
          </cell>
          <cell r="H87">
            <v>1271.9254132986869</v>
          </cell>
          <cell r="I87">
            <v>1599.546657487562</v>
          </cell>
          <cell r="J87">
            <v>1734.649879972347</v>
          </cell>
          <cell r="L87">
            <v>93.586500000000001</v>
          </cell>
          <cell r="M87">
            <v>206.6482</v>
          </cell>
          <cell r="N87">
            <v>44.128100000000003</v>
          </cell>
          <cell r="O87">
            <v>134.45089999999999</v>
          </cell>
          <cell r="P87">
            <v>65.481999999999999</v>
          </cell>
          <cell r="R87">
            <v>14.779930901287553</v>
          </cell>
          <cell r="S87">
            <v>80.042655428414506</v>
          </cell>
          <cell r="AA87">
            <v>41.565600000000003</v>
          </cell>
          <cell r="AB87">
            <v>36.589858755760368</v>
          </cell>
          <cell r="AC87">
            <v>22.804400000000001</v>
          </cell>
          <cell r="AE87">
            <v>25.163399999999999</v>
          </cell>
          <cell r="DO87">
            <v>87</v>
          </cell>
        </row>
        <row r="88">
          <cell r="A88" t="str">
            <v>Columbus, IN Metro Area</v>
          </cell>
          <cell r="B88">
            <v>2351.5488</v>
          </cell>
          <cell r="C88">
            <v>1959.2758869884401</v>
          </cell>
          <cell r="E88">
            <v>1852.8609802861299</v>
          </cell>
          <cell r="F88">
            <v>110.9538</v>
          </cell>
          <cell r="G88">
            <v>94.546754841997966</v>
          </cell>
          <cell r="H88">
            <v>116.2106</v>
          </cell>
          <cell r="I88">
            <v>69.016499999999994</v>
          </cell>
          <cell r="L88">
            <v>84.597399999999993</v>
          </cell>
          <cell r="DO88">
            <v>88</v>
          </cell>
        </row>
        <row r="89">
          <cell r="A89" t="str">
            <v>Columbus, OH Metro Area</v>
          </cell>
          <cell r="B89">
            <v>2724.1247672330096</v>
          </cell>
          <cell r="C89">
            <v>6929.7095160374902</v>
          </cell>
          <cell r="D89">
            <v>10200.726907368567</v>
          </cell>
          <cell r="E89">
            <v>6758.8084626789014</v>
          </cell>
          <cell r="F89">
            <v>4657.7746026619116</v>
          </cell>
          <cell r="G89">
            <v>4054.4220570860853</v>
          </cell>
          <cell r="H89">
            <v>4332.9521578672184</v>
          </cell>
          <cell r="I89">
            <v>4055.8335042587755</v>
          </cell>
          <cell r="J89">
            <v>3116.4209790613131</v>
          </cell>
          <cell r="K89">
            <v>3975.7462148186678</v>
          </cell>
          <cell r="L89">
            <v>2864.7204906817951</v>
          </cell>
          <cell r="M89">
            <v>2643.0563696431009</v>
          </cell>
          <cell r="N89">
            <v>2650.109994407107</v>
          </cell>
          <cell r="O89">
            <v>1692.0390221021757</v>
          </cell>
          <cell r="P89">
            <v>1496.9811097013362</v>
          </cell>
          <cell r="Q89">
            <v>676.96548491055432</v>
          </cell>
          <cell r="R89">
            <v>274.7766148703501</v>
          </cell>
          <cell r="S89">
            <v>456.90450083752086</v>
          </cell>
          <cell r="T89">
            <v>374.8202662679426</v>
          </cell>
          <cell r="U89">
            <v>101.04126446085975</v>
          </cell>
          <cell r="V89">
            <v>257.49074762370589</v>
          </cell>
          <cell r="W89">
            <v>156.14429074014367</v>
          </cell>
          <cell r="X89">
            <v>912.5623533629398</v>
          </cell>
          <cell r="Y89">
            <v>1209.9727086357275</v>
          </cell>
          <cell r="Z89">
            <v>2545.2180862963951</v>
          </cell>
          <cell r="AA89">
            <v>1020.2379894179761</v>
          </cell>
          <cell r="AB89">
            <v>901.94629094037293</v>
          </cell>
          <cell r="AC89">
            <v>2467.0609496011443</v>
          </cell>
          <cell r="AD89">
            <v>299.47073579363814</v>
          </cell>
          <cell r="AE89">
            <v>831.359001310488</v>
          </cell>
          <cell r="AF89">
            <v>3846.0592999999999</v>
          </cell>
          <cell r="AG89">
            <v>1770.8774237672123</v>
          </cell>
          <cell r="AH89">
            <v>733.7169574076047</v>
          </cell>
          <cell r="AI89">
            <v>238.53094139497895</v>
          </cell>
          <cell r="AJ89">
            <v>266.3768210360563</v>
          </cell>
          <cell r="AL89">
            <v>86.912400000000005</v>
          </cell>
          <cell r="AN89">
            <v>64.539119356128779</v>
          </cell>
          <cell r="AO89">
            <v>96.356099999999984</v>
          </cell>
          <cell r="AP89">
            <v>63.051900000000003</v>
          </cell>
          <cell r="AR89">
            <v>113.22900000000001</v>
          </cell>
          <cell r="AV89">
            <v>88.7928</v>
          </cell>
          <cell r="AZ89">
            <v>64.766900000000007</v>
          </cell>
          <cell r="DO89">
            <v>89</v>
          </cell>
        </row>
        <row r="90">
          <cell r="A90" t="str">
            <v>Corpus Christi, TX Metro Area</v>
          </cell>
          <cell r="B90">
            <v>2633.5594646728973</v>
          </cell>
          <cell r="C90">
            <v>5220.5395259463539</v>
          </cell>
          <cell r="D90">
            <v>6487.389450353151</v>
          </cell>
          <cell r="E90">
            <v>5540.8843894491829</v>
          </cell>
          <cell r="F90">
            <v>4231.3446874537412</v>
          </cell>
          <cell r="G90">
            <v>4559.3262265359554</v>
          </cell>
          <cell r="H90">
            <v>4350.2486104959053</v>
          </cell>
          <cell r="I90">
            <v>5209.4674442866853</v>
          </cell>
          <cell r="J90">
            <v>3793.0337972813441</v>
          </cell>
          <cell r="K90">
            <v>1417.6014104789274</v>
          </cell>
          <cell r="L90">
            <v>1678.5787908204657</v>
          </cell>
          <cell r="M90">
            <v>1193.7741634600391</v>
          </cell>
          <cell r="N90">
            <v>1355.0457640328373</v>
          </cell>
          <cell r="O90">
            <v>1557.8272439377199</v>
          </cell>
          <cell r="P90">
            <v>739.79470000000003</v>
          </cell>
          <cell r="Q90">
            <v>775.76049999999998</v>
          </cell>
          <cell r="R90">
            <v>911.65325214126347</v>
          </cell>
          <cell r="S90">
            <v>603.4384</v>
          </cell>
          <cell r="T90">
            <v>20.492100000000001</v>
          </cell>
          <cell r="V90">
            <v>404.1980032188485</v>
          </cell>
          <cell r="W90">
            <v>107.17910000000001</v>
          </cell>
          <cell r="X90">
            <v>31.249991275887968</v>
          </cell>
          <cell r="AA90">
            <v>1536.4784</v>
          </cell>
          <cell r="AB90">
            <v>1019.1328</v>
          </cell>
          <cell r="AD90">
            <v>806.08463852908892</v>
          </cell>
          <cell r="AE90">
            <v>29.966899999999999</v>
          </cell>
          <cell r="AH90">
            <v>21.236899999999999</v>
          </cell>
          <cell r="AI90">
            <v>464.8981</v>
          </cell>
          <cell r="DO90">
            <v>90</v>
          </cell>
        </row>
        <row r="91">
          <cell r="A91" t="str">
            <v>Corvallis, OR Metro Area</v>
          </cell>
          <cell r="B91">
            <v>7627.8823247908622</v>
          </cell>
          <cell r="C91">
            <v>3699.2569735982961</v>
          </cell>
          <cell r="D91">
            <v>1401.6319704674981</v>
          </cell>
          <cell r="E91">
            <v>240.733</v>
          </cell>
          <cell r="F91">
            <v>430.04509999999999</v>
          </cell>
          <cell r="G91">
            <v>1059.4183</v>
          </cell>
          <cell r="H91">
            <v>21.7639</v>
          </cell>
          <cell r="K91">
            <v>431.44040000000001</v>
          </cell>
          <cell r="N91">
            <v>13.201599999999999</v>
          </cell>
          <cell r="P91">
            <v>23.065300000000001</v>
          </cell>
          <cell r="DO91">
            <v>91</v>
          </cell>
        </row>
        <row r="92">
          <cell r="A92" t="str">
            <v>Crestview-Fort Walton Beach-Destin, FL Metro Area</v>
          </cell>
          <cell r="C92">
            <v>725.80725549823103</v>
          </cell>
          <cell r="D92">
            <v>729.00443582822083</v>
          </cell>
          <cell r="F92">
            <v>250.65289999999996</v>
          </cell>
          <cell r="G92">
            <v>67.885599999999997</v>
          </cell>
          <cell r="I92">
            <v>30.523900000000001</v>
          </cell>
          <cell r="O92">
            <v>22.559200000000001</v>
          </cell>
          <cell r="S92">
            <v>928.78857609952922</v>
          </cell>
          <cell r="T92">
            <v>2917.1875</v>
          </cell>
          <cell r="V92">
            <v>1412.1352048807009</v>
          </cell>
          <cell r="W92">
            <v>3718.9424957892261</v>
          </cell>
          <cell r="X92">
            <v>3620.2277745673437</v>
          </cell>
          <cell r="Y92">
            <v>3181.9923110710238</v>
          </cell>
          <cell r="Z92">
            <v>2583.1051992441253</v>
          </cell>
          <cell r="AA92">
            <v>1729.2941378286903</v>
          </cell>
          <cell r="AB92">
            <v>2242.9080981049956</v>
          </cell>
          <cell r="AC92">
            <v>1248.8488</v>
          </cell>
          <cell r="DO92">
            <v>92</v>
          </cell>
        </row>
        <row r="93">
          <cell r="A93" t="str">
            <v>Cumberland, MD-WV Metro Area</v>
          </cell>
          <cell r="B93">
            <v>3480.0279405668734</v>
          </cell>
          <cell r="C93">
            <v>1902.2967005678886</v>
          </cell>
          <cell r="D93">
            <v>707.9582977569238</v>
          </cell>
          <cell r="E93">
            <v>590.75264709633052</v>
          </cell>
          <cell r="H93">
            <v>170.5478</v>
          </cell>
          <cell r="I93">
            <v>287.78709026036648</v>
          </cell>
          <cell r="J93">
            <v>114.18005471716482</v>
          </cell>
          <cell r="K93">
            <v>1045.6013563978092</v>
          </cell>
          <cell r="N93">
            <v>19.783200000000001</v>
          </cell>
          <cell r="O93">
            <v>141.04689999999999</v>
          </cell>
          <cell r="T93">
            <v>164.87540000000001</v>
          </cell>
          <cell r="U93">
            <v>611.92399999999998</v>
          </cell>
          <cell r="W93">
            <v>68.752156970704348</v>
          </cell>
          <cell r="Z93">
            <v>36.3127</v>
          </cell>
          <cell r="DO93">
            <v>93</v>
          </cell>
        </row>
        <row r="94">
          <cell r="A94" t="str">
            <v>Dallas-Fort Worth-Arlington, TX Metro Area</v>
          </cell>
          <cell r="B94">
            <v>3506.98709297921</v>
          </cell>
          <cell r="C94">
            <v>5559.5895119607949</v>
          </cell>
          <cell r="D94">
            <v>7858.8167158295337</v>
          </cell>
          <cell r="E94">
            <v>6105.5038946602181</v>
          </cell>
          <cell r="F94">
            <v>5625.1277703027818</v>
          </cell>
          <cell r="G94">
            <v>5909.0747820333263</v>
          </cell>
          <cell r="H94">
            <v>8108.1114611772855</v>
          </cell>
          <cell r="I94">
            <v>6544.8353748016198</v>
          </cell>
          <cell r="J94">
            <v>5335.0229426022579</v>
          </cell>
          <cell r="K94">
            <v>5123.2278758513694</v>
          </cell>
          <cell r="L94">
            <v>5559.7171358431342</v>
          </cell>
          <cell r="M94">
            <v>5958.7786510742781</v>
          </cell>
          <cell r="N94">
            <v>5342.4302736896916</v>
          </cell>
          <cell r="O94">
            <v>4662.7219503193492</v>
          </cell>
          <cell r="P94">
            <v>3913.289705007312</v>
          </cell>
          <cell r="Q94">
            <v>4551.4043763855234</v>
          </cell>
          <cell r="R94">
            <v>4941.9178884631674</v>
          </cell>
          <cell r="S94">
            <v>4057.2448573860233</v>
          </cell>
          <cell r="T94">
            <v>3812.8219235834595</v>
          </cell>
          <cell r="U94">
            <v>3519.3099972527048</v>
          </cell>
          <cell r="V94">
            <v>3608.5525317898332</v>
          </cell>
          <cell r="W94">
            <v>3903.0896382253686</v>
          </cell>
          <cell r="X94">
            <v>3203.2031428973769</v>
          </cell>
          <cell r="Y94">
            <v>3036.1357610328819</v>
          </cell>
          <cell r="Z94">
            <v>3106.3846933040059</v>
          </cell>
          <cell r="AA94">
            <v>2530.7110199887047</v>
          </cell>
          <cell r="AB94">
            <v>2582.5627910861649</v>
          </cell>
          <cell r="AC94">
            <v>3025.7632906169674</v>
          </cell>
          <cell r="AD94">
            <v>3440.0633156058207</v>
          </cell>
          <cell r="AE94">
            <v>3054.2740690008695</v>
          </cell>
          <cell r="AF94">
            <v>2352.0966134348259</v>
          </cell>
          <cell r="AG94">
            <v>2431.1451198176278</v>
          </cell>
          <cell r="AH94">
            <v>2230.8665773688713</v>
          </cell>
          <cell r="AI94">
            <v>2903.5656163185809</v>
          </cell>
          <cell r="AJ94">
            <v>3629.9958403600945</v>
          </cell>
          <cell r="AK94">
            <v>2777.4767251938642</v>
          </cell>
          <cell r="AL94">
            <v>2976.5718381969591</v>
          </cell>
          <cell r="AM94">
            <v>1404.9659591364664</v>
          </cell>
          <cell r="AN94">
            <v>1795.6854431819938</v>
          </cell>
          <cell r="AO94">
            <v>2656.9814851052838</v>
          </cell>
          <cell r="AP94">
            <v>774.76617304713659</v>
          </cell>
          <cell r="AQ94">
            <v>677.76769572086619</v>
          </cell>
          <cell r="AR94">
            <v>184.24023031023702</v>
          </cell>
          <cell r="AS94">
            <v>563.0988071238861</v>
          </cell>
          <cell r="AT94">
            <v>551.08740071920681</v>
          </cell>
          <cell r="AU94">
            <v>2187.831449119014</v>
          </cell>
          <cell r="AV94">
            <v>1196.3001319134578</v>
          </cell>
          <cell r="AW94">
            <v>373.68863842529919</v>
          </cell>
          <cell r="AX94">
            <v>88.670667422752004</v>
          </cell>
          <cell r="AY94">
            <v>151.23945680819912</v>
          </cell>
          <cell r="AZ94">
            <v>102.294</v>
          </cell>
          <cell r="BA94">
            <v>34.001100000000001</v>
          </cell>
          <cell r="BB94">
            <v>314.7782855512587</v>
          </cell>
          <cell r="BC94">
            <v>43.184899999999999</v>
          </cell>
          <cell r="BD94">
            <v>121.1086</v>
          </cell>
          <cell r="BE94">
            <v>302.97750000000002</v>
          </cell>
          <cell r="BF94">
            <v>494.4408606044056</v>
          </cell>
          <cell r="BG94">
            <v>1283.9314648458626</v>
          </cell>
          <cell r="BH94">
            <v>62.934818988377806</v>
          </cell>
          <cell r="BI94">
            <v>788.53030000000012</v>
          </cell>
          <cell r="BJ94">
            <v>950.43581653264471</v>
          </cell>
          <cell r="BK94">
            <v>148.51137666174299</v>
          </cell>
          <cell r="BM94">
            <v>251.74951692254012</v>
          </cell>
          <cell r="BP94">
            <v>57.551725568238219</v>
          </cell>
          <cell r="BR94">
            <v>42.866103740157477</v>
          </cell>
          <cell r="BY94">
            <v>12.054500000000001</v>
          </cell>
          <cell r="BZ94">
            <v>221.45949999999999</v>
          </cell>
          <cell r="DO94">
            <v>94</v>
          </cell>
        </row>
        <row r="95">
          <cell r="A95" t="str">
            <v>Dalton, GA Metro Area</v>
          </cell>
          <cell r="B95">
            <v>1922.913162508301</v>
          </cell>
          <cell r="C95">
            <v>1588.5375893200428</v>
          </cell>
          <cell r="D95">
            <v>2038.5064</v>
          </cell>
          <cell r="E95">
            <v>347.63662672028124</v>
          </cell>
          <cell r="F95">
            <v>642.70833566160286</v>
          </cell>
          <cell r="G95">
            <v>351.82929547995144</v>
          </cell>
          <cell r="H95">
            <v>192.30755010076228</v>
          </cell>
          <cell r="I95">
            <v>407.20049999999998</v>
          </cell>
          <cell r="K95">
            <v>301.1705</v>
          </cell>
          <cell r="L95">
            <v>332.88397923580891</v>
          </cell>
          <cell r="M95">
            <v>107.58750901960785</v>
          </cell>
          <cell r="O95">
            <v>50.228200000000001</v>
          </cell>
          <cell r="P95">
            <v>39.189399999999999</v>
          </cell>
          <cell r="R95">
            <v>47.101999999999997</v>
          </cell>
          <cell r="DO95">
            <v>95</v>
          </cell>
        </row>
        <row r="96">
          <cell r="A96" t="str">
            <v>Danville, IL Metro Area</v>
          </cell>
          <cell r="B96">
            <v>2139.4627565877886</v>
          </cell>
          <cell r="C96">
            <v>1952.6600569868135</v>
          </cell>
          <cell r="D96">
            <v>710.71089018858731</v>
          </cell>
          <cell r="E96">
            <v>527.05771801047115</v>
          </cell>
          <cell r="G96">
            <v>368.63386846723336</v>
          </cell>
          <cell r="I96">
            <v>64.975700000000003</v>
          </cell>
          <cell r="J96">
            <v>54.730499999999999</v>
          </cell>
          <cell r="L96">
            <v>119.36243006230529</v>
          </cell>
          <cell r="N96">
            <v>36.417499999999997</v>
          </cell>
          <cell r="P96">
            <v>17.596499999999999</v>
          </cell>
          <cell r="V96">
            <v>17.0989</v>
          </cell>
          <cell r="Y96">
            <v>623.21090000000004</v>
          </cell>
          <cell r="DO96">
            <v>96</v>
          </cell>
        </row>
        <row r="97">
          <cell r="A97" t="str">
            <v>Danville, VA Metro Area</v>
          </cell>
          <cell r="B97">
            <v>2671.4530541896638</v>
          </cell>
          <cell r="C97">
            <v>1854.9865034011593</v>
          </cell>
          <cell r="D97">
            <v>1936.8184293271768</v>
          </cell>
          <cell r="F97">
            <v>487.43451637585957</v>
          </cell>
          <cell r="I97">
            <v>65.607200000000006</v>
          </cell>
          <cell r="J97">
            <v>123.30591400083671</v>
          </cell>
          <cell r="M97">
            <v>77.220055868669405</v>
          </cell>
          <cell r="N97">
            <v>56.060199999999995</v>
          </cell>
          <cell r="R97">
            <v>79.444800000000001</v>
          </cell>
          <cell r="S97">
            <v>34.567300000000003</v>
          </cell>
          <cell r="U97">
            <v>17.331099999999999</v>
          </cell>
          <cell r="Y97">
            <v>78.507499999999993</v>
          </cell>
          <cell r="AD97">
            <v>35.569600000000001</v>
          </cell>
          <cell r="AE97">
            <v>35.545000000000002</v>
          </cell>
          <cell r="AJ97">
            <v>128.18899999999999</v>
          </cell>
          <cell r="DO97">
            <v>97</v>
          </cell>
        </row>
        <row r="98">
          <cell r="A98" t="str">
            <v>Davenport-Moline-Rock Island, IA-IL Metro Area</v>
          </cell>
          <cell r="B98">
            <v>4696.6432527632342</v>
          </cell>
          <cell r="C98">
            <v>4789.6154250967611</v>
          </cell>
          <cell r="D98">
            <v>3873.0710349501646</v>
          </cell>
          <cell r="E98">
            <v>2857.4530476253854</v>
          </cell>
          <cell r="F98">
            <v>2492.4077388250116</v>
          </cell>
          <cell r="G98">
            <v>2255.3087464266937</v>
          </cell>
          <cell r="H98">
            <v>2458.5577537714171</v>
          </cell>
          <cell r="I98">
            <v>2069.8547473451113</v>
          </cell>
          <cell r="J98">
            <v>815.47152290661165</v>
          </cell>
          <cell r="K98">
            <v>249.74162337662332</v>
          </cell>
          <cell r="L98">
            <v>651.73699999999997</v>
          </cell>
          <cell r="M98">
            <v>63.114400000000003</v>
          </cell>
          <cell r="N98">
            <v>455.01960000000008</v>
          </cell>
          <cell r="O98">
            <v>46.566400000000002</v>
          </cell>
          <cell r="P98">
            <v>48.277057714820891</v>
          </cell>
          <cell r="Q98">
            <v>52.979924451765683</v>
          </cell>
          <cell r="R98">
            <v>41.165700000000001</v>
          </cell>
          <cell r="S98">
            <v>95.432199999999995</v>
          </cell>
          <cell r="X98">
            <v>286.26900000000001</v>
          </cell>
          <cell r="Y98">
            <v>39.513800000000003</v>
          </cell>
          <cell r="Z98">
            <v>115.14266531292434</v>
          </cell>
          <cell r="AB98">
            <v>20.450399999999998</v>
          </cell>
          <cell r="AE98">
            <v>15.271192656791682</v>
          </cell>
          <cell r="AH98">
            <v>13.4162</v>
          </cell>
          <cell r="AM98">
            <v>163.08580000000001</v>
          </cell>
          <cell r="AN98">
            <v>2389.04504660668</v>
          </cell>
          <cell r="AO98">
            <v>275.45989228352903</v>
          </cell>
          <cell r="DO98">
            <v>98</v>
          </cell>
        </row>
        <row r="99">
          <cell r="A99" t="str">
            <v>Dayton, OH Metro Area</v>
          </cell>
          <cell r="B99">
            <v>3362.8596170115447</v>
          </cell>
          <cell r="C99">
            <v>5280.8488700385933</v>
          </cell>
          <cell r="D99">
            <v>4865.5920343937214</v>
          </cell>
          <cell r="E99">
            <v>4467.7588954739858</v>
          </cell>
          <cell r="F99">
            <v>2915.6877451904566</v>
          </cell>
          <cell r="G99">
            <v>2761.0999009377306</v>
          </cell>
          <cell r="H99">
            <v>1982.5102867005801</v>
          </cell>
          <cell r="I99">
            <v>2250.0016561505631</v>
          </cell>
          <cell r="J99">
            <v>3153.8145411523833</v>
          </cell>
          <cell r="K99">
            <v>2023.418589814411</v>
          </cell>
          <cell r="L99">
            <v>1391.5852091024972</v>
          </cell>
          <cell r="M99">
            <v>747.27423210282268</v>
          </cell>
          <cell r="N99">
            <v>453.7294</v>
          </cell>
          <cell r="O99">
            <v>1235.1610517117888</v>
          </cell>
          <cell r="P99">
            <v>587.96333096249634</v>
          </cell>
          <cell r="Q99">
            <v>443.89172864519639</v>
          </cell>
          <cell r="R99">
            <v>506.03362797964462</v>
          </cell>
          <cell r="S99">
            <v>680.84329884805277</v>
          </cell>
          <cell r="T99">
            <v>678.19629223264178</v>
          </cell>
          <cell r="U99">
            <v>465.8844905810825</v>
          </cell>
          <cell r="V99">
            <v>404.26882698202672</v>
          </cell>
          <cell r="W99">
            <v>113.29786317431332</v>
          </cell>
          <cell r="X99">
            <v>76.964613383197559</v>
          </cell>
          <cell r="Y99">
            <v>771.17541998827096</v>
          </cell>
          <cell r="Z99">
            <v>42.539200000000001</v>
          </cell>
          <cell r="AA99">
            <v>103.60201311078859</v>
          </cell>
          <cell r="AB99">
            <v>666.53590996254684</v>
          </cell>
          <cell r="AC99">
            <v>759.49874419441937</v>
          </cell>
          <cell r="AD99">
            <v>94.992199999999997</v>
          </cell>
          <cell r="AF99">
            <v>27.724399999999999</v>
          </cell>
          <cell r="AG99">
            <v>94.418199999999999</v>
          </cell>
          <cell r="DO99">
            <v>99</v>
          </cell>
        </row>
        <row r="100">
          <cell r="A100" t="str">
            <v>Decatur, AL Metro Area</v>
          </cell>
          <cell r="B100">
            <v>2038.0059000000001</v>
          </cell>
          <cell r="C100">
            <v>2114.7937125806029</v>
          </cell>
          <cell r="D100">
            <v>2343.4375167570784</v>
          </cell>
          <cell r="E100">
            <v>1787.5551746338485</v>
          </cell>
          <cell r="F100">
            <v>198.07939999999999</v>
          </cell>
          <cell r="G100">
            <v>247.7729410711481</v>
          </cell>
          <cell r="H100">
            <v>293.73570000000001</v>
          </cell>
          <cell r="J100">
            <v>215.96039999999996</v>
          </cell>
          <cell r="K100">
            <v>255.38229999999999</v>
          </cell>
          <cell r="L100">
            <v>181.0643</v>
          </cell>
          <cell r="M100">
            <v>699.33538526517589</v>
          </cell>
          <cell r="N100">
            <v>245.55019722150539</v>
          </cell>
          <cell r="P100">
            <v>79.905100000000004</v>
          </cell>
          <cell r="R100">
            <v>27.322500000000002</v>
          </cell>
          <cell r="S100">
            <v>69.327200000000005</v>
          </cell>
          <cell r="T100">
            <v>134.54929999999999</v>
          </cell>
          <cell r="W100">
            <v>79.80880359771902</v>
          </cell>
          <cell r="X100">
            <v>39.379600000000003</v>
          </cell>
          <cell r="Y100">
            <v>61.209089820544563</v>
          </cell>
          <cell r="AD100">
            <v>13.918699999999999</v>
          </cell>
          <cell r="DO100">
            <v>100</v>
          </cell>
        </row>
        <row r="101">
          <cell r="A101" t="str">
            <v>Decatur, IL Metro Area</v>
          </cell>
          <cell r="B101">
            <v>4575.3208391059952</v>
          </cell>
          <cell r="C101">
            <v>3212.8863507493079</v>
          </cell>
          <cell r="D101">
            <v>1334.8508096851165</v>
          </cell>
          <cell r="E101">
            <v>1305.7504748001882</v>
          </cell>
          <cell r="G101">
            <v>131.94595324712643</v>
          </cell>
          <cell r="H101">
            <v>97.84943320719016</v>
          </cell>
          <cell r="I101">
            <v>33.978299999999997</v>
          </cell>
          <cell r="J101">
            <v>38.7119</v>
          </cell>
          <cell r="L101">
            <v>37.537100000000002</v>
          </cell>
          <cell r="N101">
            <v>38.985300000000002</v>
          </cell>
          <cell r="DO101">
            <v>101</v>
          </cell>
        </row>
        <row r="102">
          <cell r="A102" t="str">
            <v>Deltona-Daytona Beach-Ormond Beach, FL Metro Area</v>
          </cell>
          <cell r="C102">
            <v>2311.0881778881403</v>
          </cell>
          <cell r="D102">
            <v>1938.9273288661952</v>
          </cell>
          <cell r="E102">
            <v>1941.3738073494671</v>
          </cell>
          <cell r="F102">
            <v>667.7839643309153</v>
          </cell>
          <cell r="G102">
            <v>1507.0452211387899</v>
          </cell>
          <cell r="H102">
            <v>939.88857110857998</v>
          </cell>
          <cell r="I102">
            <v>1829.4586630381343</v>
          </cell>
          <cell r="J102">
            <v>1756.3415100732393</v>
          </cell>
          <cell r="K102">
            <v>652.37660000000005</v>
          </cell>
          <cell r="L102">
            <v>83.753898171443396</v>
          </cell>
          <cell r="M102">
            <v>636.87919599255872</v>
          </cell>
          <cell r="P102">
            <v>462.6164</v>
          </cell>
          <cell r="Q102">
            <v>781.58018147695725</v>
          </cell>
          <cell r="R102">
            <v>55.138599999999997</v>
          </cell>
          <cell r="S102">
            <v>1453.4605889559009</v>
          </cell>
          <cell r="T102">
            <v>1824.9460874202287</v>
          </cell>
          <cell r="U102">
            <v>2482.3007535749184</v>
          </cell>
          <cell r="V102">
            <v>1791.6781164845095</v>
          </cell>
          <cell r="W102">
            <v>2222.0957635761297</v>
          </cell>
          <cell r="X102">
            <v>2947.6000647649398</v>
          </cell>
          <cell r="Y102">
            <v>2029.5310316092193</v>
          </cell>
          <cell r="Z102">
            <v>3376.4209512937896</v>
          </cell>
          <cell r="AA102">
            <v>3139.3330702611629</v>
          </cell>
          <cell r="AB102">
            <v>1502.1403776329694</v>
          </cell>
          <cell r="AC102">
            <v>1932.0361539789315</v>
          </cell>
          <cell r="AE102">
            <v>1510.9878316007628</v>
          </cell>
          <cell r="AF102">
            <v>3175.9765000000002</v>
          </cell>
          <cell r="AH102">
            <v>1402.6916000000001</v>
          </cell>
          <cell r="DO102">
            <v>102</v>
          </cell>
        </row>
        <row r="103">
          <cell r="A103" t="str">
            <v>Denver-Aurora-Broomfield, CO Metro Area</v>
          </cell>
          <cell r="B103">
            <v>15482.742157625098</v>
          </cell>
          <cell r="C103">
            <v>9678.2948437238483</v>
          </cell>
          <cell r="D103">
            <v>7180.5129760892478</v>
          </cell>
          <cell r="E103">
            <v>6484.6280725812903</v>
          </cell>
          <cell r="F103">
            <v>6305.3719537418237</v>
          </cell>
          <cell r="G103">
            <v>5289.8930389566922</v>
          </cell>
          <cell r="H103">
            <v>5903.7261501753865</v>
          </cell>
          <cell r="I103">
            <v>5780.8783824141365</v>
          </cell>
          <cell r="J103">
            <v>5458.5414806672934</v>
          </cell>
          <cell r="K103">
            <v>5146.8701680379654</v>
          </cell>
          <cell r="L103">
            <v>4354.1955833466682</v>
          </cell>
          <cell r="M103">
            <v>4247.5749476978035</v>
          </cell>
          <cell r="N103">
            <v>4480.1889833594842</v>
          </cell>
          <cell r="O103">
            <v>4402.1409640199236</v>
          </cell>
          <cell r="P103">
            <v>3550.7480661129744</v>
          </cell>
          <cell r="Q103">
            <v>2370.5344264542673</v>
          </cell>
          <cell r="R103">
            <v>2632.3031563211862</v>
          </cell>
          <cell r="S103">
            <v>1957.6950800510044</v>
          </cell>
          <cell r="T103">
            <v>1782.1882196825206</v>
          </cell>
          <cell r="U103">
            <v>1423.2945272784716</v>
          </cell>
          <cell r="V103">
            <v>3378.0326414955848</v>
          </cell>
          <cell r="W103">
            <v>1133.8673063884867</v>
          </cell>
          <cell r="X103">
            <v>543.27619670970694</v>
          </cell>
          <cell r="Y103">
            <v>2181.5340000000001</v>
          </cell>
          <cell r="Z103">
            <v>480.66389052208837</v>
          </cell>
          <cell r="AA103">
            <v>512.67719645960426</v>
          </cell>
          <cell r="AB103">
            <v>603.53924787915173</v>
          </cell>
          <cell r="AC103">
            <v>971.31358275691252</v>
          </cell>
          <cell r="AD103">
            <v>159.79329999999999</v>
          </cell>
          <cell r="AE103">
            <v>162.84370000000001</v>
          </cell>
          <cell r="AF103">
            <v>82.041600000000003</v>
          </cell>
          <cell r="AG103">
            <v>29.2684</v>
          </cell>
          <cell r="AH103">
            <v>18.702779460817911</v>
          </cell>
          <cell r="AI103">
            <v>45.406967627740343</v>
          </cell>
          <cell r="AK103">
            <v>46.088900000000002</v>
          </cell>
          <cell r="AL103">
            <v>8.676158812399942</v>
          </cell>
          <cell r="AO103">
            <v>11.0441</v>
          </cell>
          <cell r="AR103">
            <v>22.020800000000001</v>
          </cell>
          <cell r="AS103">
            <v>5.0842000000000001</v>
          </cell>
          <cell r="BH103">
            <v>2.2709000000000001</v>
          </cell>
          <cell r="BM103">
            <v>1.7177</v>
          </cell>
          <cell r="BO103">
            <v>24.682300000000001</v>
          </cell>
          <cell r="BQ103">
            <v>2.7193999999999998</v>
          </cell>
          <cell r="DO103">
            <v>103</v>
          </cell>
        </row>
        <row r="104">
          <cell r="A104" t="str">
            <v>Des Moines-West Des Moines, IA Metro Area</v>
          </cell>
          <cell r="B104">
            <v>3576.9671309095579</v>
          </cell>
          <cell r="C104">
            <v>4782.8655278563401</v>
          </cell>
          <cell r="D104">
            <v>4753.5057429850121</v>
          </cell>
          <cell r="E104">
            <v>3102.3348234191953</v>
          </cell>
          <cell r="F104">
            <v>2606.2626112414605</v>
          </cell>
          <cell r="G104">
            <v>2737.5335302777848</v>
          </cell>
          <cell r="H104">
            <v>3349.9463527368393</v>
          </cell>
          <cell r="I104">
            <v>1831.5333787375857</v>
          </cell>
          <cell r="J104">
            <v>1632.3821353213036</v>
          </cell>
          <cell r="K104">
            <v>1169.8044243293327</v>
          </cell>
          <cell r="L104">
            <v>1913.5181749630763</v>
          </cell>
          <cell r="M104">
            <v>970.84956437110191</v>
          </cell>
          <cell r="N104">
            <v>1476.7079015710281</v>
          </cell>
          <cell r="O104">
            <v>3383.4702000000002</v>
          </cell>
          <cell r="P104">
            <v>77.315836048457811</v>
          </cell>
          <cell r="Q104">
            <v>1791.7652295681728</v>
          </cell>
          <cell r="R104">
            <v>1138.2149321826455</v>
          </cell>
          <cell r="S104">
            <v>49.854700000000001</v>
          </cell>
          <cell r="T104">
            <v>61.884700000000002</v>
          </cell>
          <cell r="V104">
            <v>33.687100000000001</v>
          </cell>
          <cell r="W104">
            <v>78.087762982149115</v>
          </cell>
          <cell r="Y104">
            <v>22.250699999999998</v>
          </cell>
          <cell r="AC104">
            <v>836.02430000000015</v>
          </cell>
          <cell r="AD104">
            <v>42.704500000000003</v>
          </cell>
          <cell r="AF104">
            <v>710.073202135001</v>
          </cell>
          <cell r="AP104">
            <v>28.978026423374526</v>
          </cell>
          <cell r="AZ104">
            <v>7.8901000000000003</v>
          </cell>
          <cell r="DO104">
            <v>104</v>
          </cell>
        </row>
        <row r="105">
          <cell r="A105" t="str">
            <v>Detroit-Warren-Livonia, MI Metro Area</v>
          </cell>
          <cell r="B105">
            <v>6963.3286152141454</v>
          </cell>
          <cell r="C105">
            <v>6690.917180278826</v>
          </cell>
          <cell r="D105">
            <v>6230.0203602317852</v>
          </cell>
          <cell r="E105">
            <v>5902.4950449975586</v>
          </cell>
          <cell r="F105">
            <v>7279.9143688436416</v>
          </cell>
          <cell r="G105">
            <v>6346.6165483808845</v>
          </cell>
          <cell r="H105">
            <v>6626.7703660055149</v>
          </cell>
          <cell r="I105">
            <v>6583.3885417605043</v>
          </cell>
          <cell r="J105">
            <v>6496.5657930155821</v>
          </cell>
          <cell r="K105">
            <v>6228.0922071690566</v>
          </cell>
          <cell r="L105">
            <v>5729.1290244186121</v>
          </cell>
          <cell r="M105">
            <v>5268.21545929079</v>
          </cell>
          <cell r="N105">
            <v>5175.6147258458268</v>
          </cell>
          <cell r="O105">
            <v>4327.8137817728057</v>
          </cell>
          <cell r="P105">
            <v>4423.6352285648982</v>
          </cell>
          <cell r="Q105">
            <v>3952.7198062652719</v>
          </cell>
          <cell r="R105">
            <v>4181.6582967595023</v>
          </cell>
          <cell r="S105">
            <v>3536.0007998471992</v>
          </cell>
          <cell r="T105">
            <v>3215.7433186325347</v>
          </cell>
          <cell r="U105">
            <v>2836.503215167188</v>
          </cell>
          <cell r="V105">
            <v>3318.8579932416574</v>
          </cell>
          <cell r="W105">
            <v>2972.6380686058287</v>
          </cell>
          <cell r="X105">
            <v>2832.8058182138502</v>
          </cell>
          <cell r="Y105">
            <v>2553.5469513031207</v>
          </cell>
          <cell r="Z105">
            <v>2324.4615899528762</v>
          </cell>
          <cell r="AA105">
            <v>2471.3140093146435</v>
          </cell>
          <cell r="AB105">
            <v>2495.1213051863892</v>
          </cell>
          <cell r="AC105">
            <v>2459.599772408129</v>
          </cell>
          <cell r="AD105">
            <v>2058.8800078309828</v>
          </cell>
          <cell r="AE105">
            <v>1688.9403048002973</v>
          </cell>
          <cell r="AF105">
            <v>1221.7103683802902</v>
          </cell>
          <cell r="AG105">
            <v>1349.2360354860857</v>
          </cell>
          <cell r="AH105">
            <v>1624.3757870693989</v>
          </cell>
          <cell r="AI105">
            <v>1635.5985235886897</v>
          </cell>
          <cell r="AJ105">
            <v>503.4802924821974</v>
          </cell>
          <cell r="AK105">
            <v>827.52609760610551</v>
          </cell>
          <cell r="AL105">
            <v>753.32300144365672</v>
          </cell>
          <cell r="AM105">
            <v>610.19335218560661</v>
          </cell>
          <cell r="AN105">
            <v>764.36392344639762</v>
          </cell>
          <cell r="AO105">
            <v>1197.9694633830611</v>
          </cell>
          <cell r="AP105">
            <v>779.68119410492432</v>
          </cell>
          <cell r="AQ105">
            <v>453.68059466071713</v>
          </cell>
          <cell r="AR105">
            <v>465.34295553308527</v>
          </cell>
          <cell r="AS105">
            <v>443.30475244460717</v>
          </cell>
          <cell r="AT105">
            <v>1169.0109535790846</v>
          </cell>
          <cell r="AU105">
            <v>502.51501926668686</v>
          </cell>
          <cell r="AV105">
            <v>390.68581257546873</v>
          </cell>
          <cell r="AW105">
            <v>886.86089348329028</v>
          </cell>
          <cell r="AX105">
            <v>264.13194369467755</v>
          </cell>
          <cell r="AY105">
            <v>1281.1406711799914</v>
          </cell>
          <cell r="AZ105">
            <v>630.64653402474846</v>
          </cell>
          <cell r="BA105">
            <v>1132.9115812848288</v>
          </cell>
          <cell r="BB105">
            <v>1238.7222497088283</v>
          </cell>
          <cell r="BC105">
            <v>1668.1323289096526</v>
          </cell>
          <cell r="BD105">
            <v>1922.1125834938471</v>
          </cell>
          <cell r="BE105">
            <v>1190.1380132311258</v>
          </cell>
          <cell r="BF105">
            <v>2266.9753256184831</v>
          </cell>
          <cell r="BG105">
            <v>623.11714356647974</v>
          </cell>
          <cell r="BH105">
            <v>190.66630894020133</v>
          </cell>
          <cell r="BJ105">
            <v>155.52766705361236</v>
          </cell>
          <cell r="BN105">
            <v>128.4203</v>
          </cell>
          <cell r="BP105">
            <v>44.319699999999997</v>
          </cell>
          <cell r="DO105">
            <v>105</v>
          </cell>
        </row>
        <row r="106">
          <cell r="A106" t="str">
            <v>Dothan, AL Metro Area</v>
          </cell>
          <cell r="B106">
            <v>2704.3724399201596</v>
          </cell>
          <cell r="C106">
            <v>1977.7847985096782</v>
          </cell>
          <cell r="D106">
            <v>852.82220066839295</v>
          </cell>
          <cell r="E106">
            <v>392.7362</v>
          </cell>
          <cell r="F106">
            <v>1022.9931771560872</v>
          </cell>
          <cell r="H106">
            <v>97.428899999999999</v>
          </cell>
          <cell r="I106">
            <v>98.728700000000003</v>
          </cell>
          <cell r="J106">
            <v>109.4646</v>
          </cell>
          <cell r="K106">
            <v>95.930900000000008</v>
          </cell>
          <cell r="L106">
            <v>76.006278824510218</v>
          </cell>
          <cell r="P106">
            <v>59.077599999999997</v>
          </cell>
          <cell r="Q106">
            <v>27.700313871763257</v>
          </cell>
          <cell r="S106">
            <v>19.486899999999999</v>
          </cell>
          <cell r="T106">
            <v>12.805099999999998</v>
          </cell>
          <cell r="W106">
            <v>44.960500000000003</v>
          </cell>
          <cell r="Z106">
            <v>85.518799999999999</v>
          </cell>
          <cell r="AB106">
            <v>13.824199999999999</v>
          </cell>
          <cell r="AE106">
            <v>27.516400000000001</v>
          </cell>
          <cell r="AH106">
            <v>69.922343456790131</v>
          </cell>
          <cell r="AQ106">
            <v>30.567799999999998</v>
          </cell>
          <cell r="DO106">
            <v>106</v>
          </cell>
        </row>
        <row r="107">
          <cell r="A107" t="str">
            <v>Dover, DE Metro Area</v>
          </cell>
          <cell r="B107">
            <v>2655.6316660746647</v>
          </cell>
          <cell r="C107">
            <v>1776.7838744390976</v>
          </cell>
          <cell r="D107">
            <v>1617.8958026492955</v>
          </cell>
          <cell r="E107">
            <v>874.64877142716955</v>
          </cell>
          <cell r="G107">
            <v>742.5095</v>
          </cell>
          <cell r="H107">
            <v>188.13900000000001</v>
          </cell>
          <cell r="I107">
            <v>625.30899999999997</v>
          </cell>
          <cell r="J107">
            <v>805.51369420044705</v>
          </cell>
          <cell r="K107">
            <v>190.92484405906927</v>
          </cell>
          <cell r="L107">
            <v>538.26844214164691</v>
          </cell>
          <cell r="M107">
            <v>124.07160000000002</v>
          </cell>
          <cell r="P107">
            <v>162.38650000000001</v>
          </cell>
          <cell r="R107">
            <v>259.45079437125753</v>
          </cell>
          <cell r="S107">
            <v>1158.8207</v>
          </cell>
          <cell r="V107">
            <v>44.184899999999999</v>
          </cell>
          <cell r="DO107">
            <v>107</v>
          </cell>
        </row>
        <row r="108">
          <cell r="A108" t="str">
            <v>Dubuque, IA Metro Area</v>
          </cell>
          <cell r="B108">
            <v>5621.9056112171265</v>
          </cell>
          <cell r="C108">
            <v>3747.6352070528078</v>
          </cell>
          <cell r="D108">
            <v>1870.8827774052149</v>
          </cell>
          <cell r="E108">
            <v>2217.0781469875519</v>
          </cell>
          <cell r="F108">
            <v>699.33609902597402</v>
          </cell>
          <cell r="G108">
            <v>61.588900000000002</v>
          </cell>
          <cell r="J108">
            <v>94.588899999999995</v>
          </cell>
          <cell r="K108">
            <v>34.332500000000003</v>
          </cell>
          <cell r="Q108">
            <v>84.798400000000001</v>
          </cell>
          <cell r="R108">
            <v>21.542899999999999</v>
          </cell>
          <cell r="V108">
            <v>27.064900000000002</v>
          </cell>
          <cell r="Y108">
            <v>318.5385</v>
          </cell>
          <cell r="DO108">
            <v>108</v>
          </cell>
        </row>
        <row r="109">
          <cell r="A109" t="str">
            <v>Duluth, MN-WI Metro Area</v>
          </cell>
          <cell r="B109">
            <v>4644.9094419066687</v>
          </cell>
          <cell r="C109">
            <v>6057.5142531738311</v>
          </cell>
          <cell r="D109">
            <v>2562.6118325848397</v>
          </cell>
          <cell r="E109">
            <v>1525.6900438557595</v>
          </cell>
          <cell r="F109">
            <v>3019.6666354220201</v>
          </cell>
          <cell r="G109">
            <v>726.0198027372993</v>
          </cell>
          <cell r="H109">
            <v>779.48060618172121</v>
          </cell>
          <cell r="I109">
            <v>244.85042310349789</v>
          </cell>
          <cell r="J109">
            <v>644.67935128918566</v>
          </cell>
          <cell r="L109">
            <v>369.01380000000006</v>
          </cell>
          <cell r="N109">
            <v>65.734529344502079</v>
          </cell>
          <cell r="P109">
            <v>31.189539257228315</v>
          </cell>
          <cell r="R109">
            <v>599.96590000000003</v>
          </cell>
          <cell r="S109">
            <v>1017.7356</v>
          </cell>
          <cell r="U109">
            <v>35.860100000000003</v>
          </cell>
          <cell r="W109">
            <v>22.244499999999999</v>
          </cell>
          <cell r="X109">
            <v>38.1417</v>
          </cell>
          <cell r="AF109">
            <v>7.6277999999999997</v>
          </cell>
          <cell r="AG109">
            <v>6.5204000000000004</v>
          </cell>
          <cell r="AK109">
            <v>37.013843480008035</v>
          </cell>
          <cell r="AN109">
            <v>8.9405999999999999</v>
          </cell>
          <cell r="AR109">
            <v>4.3822000000000001</v>
          </cell>
          <cell r="AX109">
            <v>44.383899999999997</v>
          </cell>
          <cell r="AZ109">
            <v>35.734999999999999</v>
          </cell>
          <cell r="BA109">
            <v>374.1568240264026</v>
          </cell>
          <cell r="BB109">
            <v>14.500299999999998</v>
          </cell>
          <cell r="BD109">
            <v>2040.4905346938776</v>
          </cell>
          <cell r="BE109">
            <v>815.75464259115608</v>
          </cell>
          <cell r="BF109">
            <v>23.793700000000001</v>
          </cell>
          <cell r="BG109">
            <v>29.235600000000005</v>
          </cell>
          <cell r="BH109">
            <v>2105.253031646977</v>
          </cell>
          <cell r="BI109">
            <v>2338.0354855016035</v>
          </cell>
          <cell r="BK109">
            <v>1111.4776999999999</v>
          </cell>
          <cell r="BN109">
            <v>13.927000000000001</v>
          </cell>
          <cell r="BP109">
            <v>11.9016</v>
          </cell>
          <cell r="BV109">
            <v>9.557834877896056</v>
          </cell>
          <cell r="CB109">
            <v>1277.7918</v>
          </cell>
          <cell r="CL109">
            <v>1.8329</v>
          </cell>
          <cell r="DO109">
            <v>109</v>
          </cell>
        </row>
        <row r="110">
          <cell r="A110" t="str">
            <v>Durham-Chapel Hill, NC Metro Area</v>
          </cell>
          <cell r="B110">
            <v>3946.6809138179196</v>
          </cell>
          <cell r="C110">
            <v>4861.3055775334715</v>
          </cell>
          <cell r="D110">
            <v>2930.7600786132584</v>
          </cell>
          <cell r="E110">
            <v>2373.9855042653849</v>
          </cell>
          <cell r="F110">
            <v>2241.2901107810162</v>
          </cell>
          <cell r="G110">
            <v>1566.7662849396863</v>
          </cell>
          <cell r="H110">
            <v>1007.5878130550767</v>
          </cell>
          <cell r="I110">
            <v>943.13869738003098</v>
          </cell>
          <cell r="J110">
            <v>1824.6210534118989</v>
          </cell>
          <cell r="K110">
            <v>1393.8492956284413</v>
          </cell>
          <cell r="L110">
            <v>6557.2057505152407</v>
          </cell>
          <cell r="M110">
            <v>985.10782263631029</v>
          </cell>
          <cell r="N110">
            <v>2356.322121655041</v>
          </cell>
          <cell r="O110">
            <v>501.05935922041607</v>
          </cell>
          <cell r="P110">
            <v>144.63368900742998</v>
          </cell>
          <cell r="Q110">
            <v>335.26369999999997</v>
          </cell>
          <cell r="S110">
            <v>183.51649043940611</v>
          </cell>
          <cell r="T110">
            <v>232.30891483724452</v>
          </cell>
          <cell r="U110">
            <v>84.369950010369152</v>
          </cell>
          <cell r="V110">
            <v>102.27950000000001</v>
          </cell>
          <cell r="X110">
            <v>43.711199999999998</v>
          </cell>
          <cell r="Y110">
            <v>124.9851</v>
          </cell>
          <cell r="AA110">
            <v>94.436499999999995</v>
          </cell>
          <cell r="AC110">
            <v>818.56100000000015</v>
          </cell>
          <cell r="AE110">
            <v>243.95962378570744</v>
          </cell>
          <cell r="AH110">
            <v>61.103000000000002</v>
          </cell>
          <cell r="AJ110">
            <v>45.687199999999997</v>
          </cell>
          <cell r="AL110">
            <v>656.35918267099737</v>
          </cell>
          <cell r="AN110">
            <v>52.064399999999999</v>
          </cell>
          <cell r="AR110">
            <v>45.667600000000007</v>
          </cell>
          <cell r="DO110">
            <v>110</v>
          </cell>
        </row>
        <row r="111">
          <cell r="A111" t="str">
            <v>Eau Claire, WI Metro Area</v>
          </cell>
          <cell r="B111">
            <v>3577.1020820367507</v>
          </cell>
          <cell r="C111">
            <v>3536.7044721566222</v>
          </cell>
          <cell r="D111">
            <v>1568.5353335426591</v>
          </cell>
          <cell r="E111">
            <v>1379.9795023949889</v>
          </cell>
          <cell r="F111">
            <v>209.31863076633263</v>
          </cell>
          <cell r="I111">
            <v>296.94704956614277</v>
          </cell>
          <cell r="J111">
            <v>45.899099999999997</v>
          </cell>
          <cell r="K111">
            <v>2662.5016000000001</v>
          </cell>
          <cell r="L111">
            <v>719.79769999999996</v>
          </cell>
          <cell r="M111">
            <v>206.8904</v>
          </cell>
          <cell r="O111">
            <v>26.738</v>
          </cell>
          <cell r="T111">
            <v>58.773800000000001</v>
          </cell>
          <cell r="W111">
            <v>54.602899999999998</v>
          </cell>
          <cell r="X111">
            <v>31.478502209712651</v>
          </cell>
          <cell r="AC111">
            <v>20.773199999999999</v>
          </cell>
          <cell r="AF111">
            <v>24.2652</v>
          </cell>
          <cell r="DO111">
            <v>111</v>
          </cell>
        </row>
        <row r="112">
          <cell r="A112" t="str">
            <v>El Centro, CA Metro Area</v>
          </cell>
          <cell r="B112">
            <v>7949.5248228736436</v>
          </cell>
          <cell r="C112">
            <v>3238.6962349358146</v>
          </cell>
          <cell r="D112">
            <v>1233.7893999999999</v>
          </cell>
          <cell r="E112">
            <v>190.55692904874036</v>
          </cell>
          <cell r="H112">
            <v>47.330599999999997</v>
          </cell>
          <cell r="J112">
            <v>1692.6867499520511</v>
          </cell>
          <cell r="K112">
            <v>7959.2001693289649</v>
          </cell>
          <cell r="L112">
            <v>12.2181</v>
          </cell>
          <cell r="M112">
            <v>1080.6523</v>
          </cell>
          <cell r="N112">
            <v>2051.7948348939931</v>
          </cell>
          <cell r="O112">
            <v>3577.4619566108386</v>
          </cell>
          <cell r="Q112">
            <v>6.15</v>
          </cell>
          <cell r="S112">
            <v>36.459400000000002</v>
          </cell>
          <cell r="AA112">
            <v>55.454000000000001</v>
          </cell>
          <cell r="AB112">
            <v>31.427800000000001</v>
          </cell>
          <cell r="AM112">
            <v>0.56799999999999995</v>
          </cell>
          <cell r="AU112">
            <v>73.570800000000006</v>
          </cell>
          <cell r="BE112">
            <v>69.333799999999997</v>
          </cell>
          <cell r="DO112">
            <v>112</v>
          </cell>
        </row>
        <row r="113">
          <cell r="A113" t="str">
            <v>Elizabethtown, KY Metro Area</v>
          </cell>
          <cell r="B113">
            <v>2346.9850782090866</v>
          </cell>
          <cell r="C113">
            <v>1700.4848786023501</v>
          </cell>
          <cell r="D113">
            <v>1572.7316000000001</v>
          </cell>
          <cell r="E113">
            <v>131.39490000000001</v>
          </cell>
          <cell r="F113">
            <v>218.97749999999999</v>
          </cell>
          <cell r="I113">
            <v>345.51282149301011</v>
          </cell>
          <cell r="J113">
            <v>513.52860970438019</v>
          </cell>
          <cell r="K113">
            <v>1945.5277000000001</v>
          </cell>
          <cell r="L113">
            <v>301.64864957897191</v>
          </cell>
          <cell r="M113">
            <v>1647.4654499820435</v>
          </cell>
          <cell r="P113">
            <v>1101.4067</v>
          </cell>
          <cell r="Q113">
            <v>124.58172357253088</v>
          </cell>
          <cell r="R113">
            <v>18.232700000000001</v>
          </cell>
          <cell r="S113">
            <v>34.5426</v>
          </cell>
          <cell r="W113">
            <v>232.3648</v>
          </cell>
          <cell r="DO113">
            <v>113</v>
          </cell>
        </row>
        <row r="114">
          <cell r="A114" t="str">
            <v>Elkhart-Goshen, IN Metro Area</v>
          </cell>
          <cell r="B114">
            <v>5372.7960049539988</v>
          </cell>
          <cell r="C114">
            <v>2160.0289610611699</v>
          </cell>
          <cell r="D114">
            <v>1776.5663048893189</v>
          </cell>
          <cell r="E114">
            <v>896.66490221154436</v>
          </cell>
          <cell r="F114">
            <v>699.33313824305776</v>
          </cell>
          <cell r="G114">
            <v>1002.8318</v>
          </cell>
          <cell r="I114">
            <v>275.18213045257585</v>
          </cell>
          <cell r="J114">
            <v>1448.9965505104665</v>
          </cell>
          <cell r="K114">
            <v>1566.436433443655</v>
          </cell>
          <cell r="L114">
            <v>4393.0099</v>
          </cell>
          <cell r="M114">
            <v>785.79102455377767</v>
          </cell>
          <cell r="N114">
            <v>216.4999</v>
          </cell>
          <cell r="O114">
            <v>690.42589999999996</v>
          </cell>
          <cell r="Q114">
            <v>122.78133995980707</v>
          </cell>
          <cell r="R114">
            <v>768.83860877412292</v>
          </cell>
          <cell r="DO114">
            <v>114</v>
          </cell>
        </row>
        <row r="115">
          <cell r="A115" t="str">
            <v>Elmira, NY Metro Area</v>
          </cell>
          <cell r="B115">
            <v>5539.9829237697895</v>
          </cell>
          <cell r="C115">
            <v>3235.767159267064</v>
          </cell>
          <cell r="D115">
            <v>3342.244429391304</v>
          </cell>
          <cell r="E115">
            <v>1364.4039897503671</v>
          </cell>
          <cell r="F115">
            <v>485.65174545122397</v>
          </cell>
          <cell r="G115">
            <v>2740.8908000000001</v>
          </cell>
          <cell r="H115">
            <v>227.13186897143234</v>
          </cell>
          <cell r="I115">
            <v>44.069000000000003</v>
          </cell>
          <cell r="L115">
            <v>77.716499999999996</v>
          </cell>
          <cell r="M115">
            <v>41.065300000000001</v>
          </cell>
          <cell r="DO115">
            <v>115</v>
          </cell>
        </row>
        <row r="116">
          <cell r="A116" t="str">
            <v>El Paso, TX Metro Area</v>
          </cell>
          <cell r="B116">
            <v>8502.4455478860418</v>
          </cell>
          <cell r="C116">
            <v>4715.6046079890175</v>
          </cell>
          <cell r="D116">
            <v>3779.3914737126902</v>
          </cell>
          <cell r="E116">
            <v>5158.1799346934995</v>
          </cell>
          <cell r="F116">
            <v>4772.3643300029189</v>
          </cell>
          <cell r="G116">
            <v>4257.2097727047149</v>
          </cell>
          <cell r="H116">
            <v>3585.650673392237</v>
          </cell>
          <cell r="I116">
            <v>5128.7846908111242</v>
          </cell>
          <cell r="J116">
            <v>5650.0504254787793</v>
          </cell>
          <cell r="K116">
            <v>4661.5695541247896</v>
          </cell>
          <cell r="L116">
            <v>5143.8686714541709</v>
          </cell>
          <cell r="M116">
            <v>6121.9002419694516</v>
          </cell>
          <cell r="N116">
            <v>5117.6890091788264</v>
          </cell>
          <cell r="O116">
            <v>3317.2901861442747</v>
          </cell>
          <cell r="P116">
            <v>3438.9667333026073</v>
          </cell>
          <cell r="Q116">
            <v>811.00132479157878</v>
          </cell>
          <cell r="R116">
            <v>900.68911333508515</v>
          </cell>
          <cell r="S116">
            <v>2331.67491032219</v>
          </cell>
          <cell r="T116">
            <v>1159.1993917369873</v>
          </cell>
          <cell r="U116">
            <v>691.16826620336508</v>
          </cell>
          <cell r="V116">
            <v>265.6755</v>
          </cell>
          <cell r="W116">
            <v>171.38140000000001</v>
          </cell>
          <cell r="X116">
            <v>80.189499999999995</v>
          </cell>
          <cell r="AA116">
            <v>18.610629226557155</v>
          </cell>
          <cell r="AB116">
            <v>260.39830000000001</v>
          </cell>
          <cell r="AE116">
            <v>348.94400000000002</v>
          </cell>
          <cell r="AH116">
            <v>67.403000000000006</v>
          </cell>
          <cell r="DO116">
            <v>116</v>
          </cell>
        </row>
        <row r="117">
          <cell r="A117" t="str">
            <v>Erie, PA Metro Area</v>
          </cell>
          <cell r="B117">
            <v>7989.0913501041123</v>
          </cell>
          <cell r="C117">
            <v>8980.2698825327388</v>
          </cell>
          <cell r="D117">
            <v>4844.4756063077539</v>
          </cell>
          <cell r="E117">
            <v>2971.9065586262095</v>
          </cell>
          <cell r="F117">
            <v>1929.6668171863864</v>
          </cell>
          <cell r="G117">
            <v>1650.7626296079582</v>
          </cell>
          <cell r="H117">
            <v>1079.5129958955222</v>
          </cell>
          <cell r="I117">
            <v>186.45061057066258</v>
          </cell>
          <cell r="K117">
            <v>366.64739815834037</v>
          </cell>
          <cell r="L117">
            <v>255.02449999999999</v>
          </cell>
          <cell r="O117">
            <v>87.446799999999996</v>
          </cell>
          <cell r="P117">
            <v>892.98962948504516</v>
          </cell>
          <cell r="Q117">
            <v>820.59570509128321</v>
          </cell>
          <cell r="R117">
            <v>82.1511</v>
          </cell>
          <cell r="S117">
            <v>2815.6745000000001</v>
          </cell>
          <cell r="U117">
            <v>54.56171611154145</v>
          </cell>
          <cell r="V117">
            <v>1814.1287999999997</v>
          </cell>
          <cell r="W117">
            <v>494.84722023881801</v>
          </cell>
          <cell r="X117">
            <v>3162.1671999999999</v>
          </cell>
          <cell r="Y117">
            <v>49.064100000000003</v>
          </cell>
          <cell r="Z117">
            <v>44.3339</v>
          </cell>
          <cell r="AB117">
            <v>1101.9652000000001</v>
          </cell>
          <cell r="DO117">
            <v>117</v>
          </cell>
        </row>
        <row r="118">
          <cell r="A118" t="str">
            <v>Eugene-Springfield, OR Metro Area</v>
          </cell>
          <cell r="B118">
            <v>10105.298247682575</v>
          </cell>
          <cell r="C118">
            <v>4707.2451448998918</v>
          </cell>
          <cell r="D118">
            <v>4083.8441940842636</v>
          </cell>
          <cell r="E118">
            <v>2966.1288902536717</v>
          </cell>
          <cell r="F118">
            <v>3594.4999396671592</v>
          </cell>
          <cell r="G118">
            <v>2658.9975864711305</v>
          </cell>
          <cell r="H118">
            <v>79.01807112784266</v>
          </cell>
          <cell r="I118">
            <v>3894.4050988860758</v>
          </cell>
          <cell r="J118">
            <v>565.10724309174259</v>
          </cell>
          <cell r="K118">
            <v>634.43448563327036</v>
          </cell>
          <cell r="L118">
            <v>114.1178</v>
          </cell>
          <cell r="N118">
            <v>180.78180586827219</v>
          </cell>
          <cell r="O118">
            <v>268.34769285714282</v>
          </cell>
          <cell r="P118">
            <v>5.3251999999999997</v>
          </cell>
          <cell r="Q118">
            <v>57.597127792339563</v>
          </cell>
          <cell r="R118">
            <v>13.365600000000001</v>
          </cell>
          <cell r="T118">
            <v>189.15143841182649</v>
          </cell>
          <cell r="Z118">
            <v>5.731616668840485</v>
          </cell>
          <cell r="AH118">
            <v>6.1402000000000001</v>
          </cell>
          <cell r="AM118">
            <v>5.2415000000000003</v>
          </cell>
          <cell r="AX118">
            <v>9.3093000000000004</v>
          </cell>
          <cell r="AZ118">
            <v>1069.2305083730221</v>
          </cell>
          <cell r="BA118">
            <v>1216.6693037982973</v>
          </cell>
          <cell r="DO118">
            <v>118</v>
          </cell>
        </row>
        <row r="119">
          <cell r="A119" t="str">
            <v>Evansville, IN-KY Metro Area</v>
          </cell>
          <cell r="B119">
            <v>3973.8470274192377</v>
          </cell>
          <cell r="C119">
            <v>4808.2240889882487</v>
          </cell>
          <cell r="D119">
            <v>3433.4878775452153</v>
          </cell>
          <cell r="E119">
            <v>2880.2428567682209</v>
          </cell>
          <cell r="F119">
            <v>2121.5704221186506</v>
          </cell>
          <cell r="G119">
            <v>1217.8952390148427</v>
          </cell>
          <cell r="H119">
            <v>525.40593361714127</v>
          </cell>
          <cell r="I119">
            <v>1091.2445546807194</v>
          </cell>
          <cell r="J119">
            <v>1952.0825442163302</v>
          </cell>
          <cell r="K119">
            <v>1270.3893012127896</v>
          </cell>
          <cell r="L119">
            <v>1380.7572793356392</v>
          </cell>
          <cell r="M119">
            <v>614.90018903622695</v>
          </cell>
          <cell r="N119">
            <v>58.06280000000001</v>
          </cell>
          <cell r="Q119">
            <v>48.3772116754769</v>
          </cell>
          <cell r="R119">
            <v>363.92871313131309</v>
          </cell>
          <cell r="S119">
            <v>271.31744199719424</v>
          </cell>
          <cell r="T119">
            <v>971.98746043247888</v>
          </cell>
          <cell r="U119">
            <v>25.7775</v>
          </cell>
          <cell r="V119">
            <v>28.7775</v>
          </cell>
          <cell r="X119">
            <v>31.666799999999999</v>
          </cell>
          <cell r="AA119">
            <v>53.345251230967342</v>
          </cell>
          <cell r="AB119">
            <v>1238.0274395634381</v>
          </cell>
          <cell r="AC119">
            <v>37.881900000000002</v>
          </cell>
          <cell r="AF119">
            <v>32.373399999999997</v>
          </cell>
          <cell r="AG119">
            <v>29.2361</v>
          </cell>
          <cell r="AM119">
            <v>35.7502</v>
          </cell>
          <cell r="AP119">
            <v>74.430999999999997</v>
          </cell>
          <cell r="DO119">
            <v>119</v>
          </cell>
        </row>
        <row r="120">
          <cell r="A120" t="str">
            <v>Fairbanks, AK Metro Area</v>
          </cell>
          <cell r="B120">
            <v>3076.1574219434806</v>
          </cell>
          <cell r="C120">
            <v>1684.0896207405949</v>
          </cell>
          <cell r="D120">
            <v>1810.3504813202683</v>
          </cell>
          <cell r="E120">
            <v>1658.8948290632914</v>
          </cell>
          <cell r="G120">
            <v>104.85425037220843</v>
          </cell>
          <cell r="I120">
            <v>261.78578537588544</v>
          </cell>
          <cell r="N120">
            <v>496.37279999999998</v>
          </cell>
          <cell r="O120">
            <v>204.1277</v>
          </cell>
          <cell r="W120">
            <v>6.1197999999999997</v>
          </cell>
          <cell r="AG120">
            <v>1.0714999999999999</v>
          </cell>
          <cell r="DO120">
            <v>120</v>
          </cell>
        </row>
        <row r="121">
          <cell r="A121" t="str">
            <v>Fargo, ND-MN Metro Area</v>
          </cell>
          <cell r="B121">
            <v>4747.3008993125286</v>
          </cell>
          <cell r="C121">
            <v>4996.0714625544679</v>
          </cell>
          <cell r="D121">
            <v>3657.009329820718</v>
          </cell>
          <cell r="E121">
            <v>2315.897316400511</v>
          </cell>
          <cell r="F121">
            <v>3880.5379260023615</v>
          </cell>
          <cell r="G121">
            <v>2336.4404516692862</v>
          </cell>
          <cell r="H121">
            <v>513.45294737456641</v>
          </cell>
          <cell r="J121">
            <v>37.697200000000002</v>
          </cell>
          <cell r="L121">
            <v>7.2412999999999998</v>
          </cell>
          <cell r="S121">
            <v>11.382199999999999</v>
          </cell>
          <cell r="V121">
            <v>11.375299999999999</v>
          </cell>
          <cell r="W121">
            <v>16.618400000000001</v>
          </cell>
          <cell r="X121">
            <v>5.3612000000000002</v>
          </cell>
          <cell r="Y121">
            <v>18.082599999999999</v>
          </cell>
          <cell r="AL121">
            <v>3.4042000000000003</v>
          </cell>
          <cell r="DO121">
            <v>121</v>
          </cell>
        </row>
        <row r="122">
          <cell r="A122" t="str">
            <v>Farmington, NM Metro Area</v>
          </cell>
          <cell r="B122">
            <v>1607.0650817566066</v>
          </cell>
          <cell r="C122">
            <v>4493.3729898277652</v>
          </cell>
          <cell r="D122">
            <v>1700.167586798636</v>
          </cell>
          <cell r="E122">
            <v>563.38720000000001</v>
          </cell>
          <cell r="F122">
            <v>660.5219474393532</v>
          </cell>
          <cell r="G122">
            <v>822.74689999999998</v>
          </cell>
          <cell r="H122">
            <v>511.50729999999999</v>
          </cell>
          <cell r="I122">
            <v>235.41409999999999</v>
          </cell>
          <cell r="J122">
            <v>206.50808161187084</v>
          </cell>
          <cell r="K122">
            <v>197.8836046021093</v>
          </cell>
          <cell r="L122">
            <v>7.7478999999999996</v>
          </cell>
          <cell r="N122">
            <v>501.78171350759118</v>
          </cell>
          <cell r="O122">
            <v>454.06512670756649</v>
          </cell>
          <cell r="P122">
            <v>245.48820000000001</v>
          </cell>
          <cell r="U122">
            <v>23.742100000000001</v>
          </cell>
          <cell r="V122">
            <v>9.3696256913470126</v>
          </cell>
          <cell r="X122">
            <v>3.4041999999999999</v>
          </cell>
          <cell r="AB122">
            <v>359.68021548547534</v>
          </cell>
          <cell r="AE122">
            <v>4.4253</v>
          </cell>
          <cell r="AR122">
            <v>5.1783999999999999</v>
          </cell>
          <cell r="BE122">
            <v>5.008799999999999</v>
          </cell>
          <cell r="DO122">
            <v>122</v>
          </cell>
        </row>
        <row r="123">
          <cell r="A123" t="str">
            <v>Fayetteville, NC Metro Area</v>
          </cell>
          <cell r="B123">
            <v>1411.1102991877754</v>
          </cell>
          <cell r="C123">
            <v>1718.2146</v>
          </cell>
          <cell r="D123">
            <v>2303.1115445852797</v>
          </cell>
          <cell r="E123">
            <v>1005.744006336524</v>
          </cell>
          <cell r="F123">
            <v>2284.7986148351029</v>
          </cell>
          <cell r="G123">
            <v>2727.0476419003212</v>
          </cell>
          <cell r="H123">
            <v>2738.0741878413683</v>
          </cell>
          <cell r="I123">
            <v>2361.4200160145083</v>
          </cell>
          <cell r="J123">
            <v>769.89986684225937</v>
          </cell>
          <cell r="K123">
            <v>1640.6306111834822</v>
          </cell>
          <cell r="L123">
            <v>1026.3764743479869</v>
          </cell>
          <cell r="M123">
            <v>234.95581758107781</v>
          </cell>
          <cell r="N123">
            <v>488.5145</v>
          </cell>
          <cell r="O123">
            <v>38.857700000000001</v>
          </cell>
          <cell r="P123">
            <v>565.32611078416426</v>
          </cell>
          <cell r="S123">
            <v>82.617000000000004</v>
          </cell>
          <cell r="U123">
            <v>867.03739999999993</v>
          </cell>
          <cell r="V123">
            <v>0</v>
          </cell>
          <cell r="X123">
            <v>84.490200000000002</v>
          </cell>
          <cell r="Z123">
            <v>60.232200000000006</v>
          </cell>
          <cell r="AB123">
            <v>80.006600000000006</v>
          </cell>
          <cell r="DO123">
            <v>123</v>
          </cell>
        </row>
        <row r="124">
          <cell r="A124" t="str">
            <v>Fayetteville-Springdale-Rogers, AR-MO Metro Area</v>
          </cell>
          <cell r="B124">
            <v>5624.0682999999999</v>
          </cell>
          <cell r="C124">
            <v>2104.1927518268249</v>
          </cell>
          <cell r="D124">
            <v>2285.0819149889862</v>
          </cell>
          <cell r="E124">
            <v>1289.623</v>
          </cell>
          <cell r="F124">
            <v>871.13272140845072</v>
          </cell>
          <cell r="G124">
            <v>217.72742714527436</v>
          </cell>
          <cell r="H124">
            <v>749.29717426310845</v>
          </cell>
          <cell r="I124">
            <v>3128.0075567799918</v>
          </cell>
          <cell r="J124">
            <v>2033.4196973592022</v>
          </cell>
          <cell r="K124">
            <v>1676.0992119649304</v>
          </cell>
          <cell r="M124">
            <v>160.97724140643072</v>
          </cell>
          <cell r="N124">
            <v>723.69730000000004</v>
          </cell>
          <cell r="O124">
            <v>338.18556164311264</v>
          </cell>
          <cell r="Q124">
            <v>399.96354277598454</v>
          </cell>
          <cell r="R124">
            <v>1558.0234190957137</v>
          </cell>
          <cell r="S124">
            <v>615.94669473070405</v>
          </cell>
          <cell r="T124">
            <v>1268.4120753944478</v>
          </cell>
          <cell r="U124">
            <v>1428.4590401511732</v>
          </cell>
          <cell r="V124">
            <v>886.27970763444171</v>
          </cell>
          <cell r="W124">
            <v>1386.9442955781035</v>
          </cell>
          <cell r="X124">
            <v>959.95395797300682</v>
          </cell>
          <cell r="Y124">
            <v>469.10058721793564</v>
          </cell>
          <cell r="Z124">
            <v>118.47580000000001</v>
          </cell>
          <cell r="AA124">
            <v>87.646100000000004</v>
          </cell>
          <cell r="AB124">
            <v>226.21499733996748</v>
          </cell>
          <cell r="AC124">
            <v>733.32174585701796</v>
          </cell>
          <cell r="AD124">
            <v>130.70419999999999</v>
          </cell>
          <cell r="AE124">
            <v>572.77997376205076</v>
          </cell>
          <cell r="AF124">
            <v>186.53774353481253</v>
          </cell>
          <cell r="AG124">
            <v>10.0259</v>
          </cell>
          <cell r="AM124">
            <v>24.524999999999995</v>
          </cell>
          <cell r="AN124">
            <v>60.614499999999992</v>
          </cell>
          <cell r="AR124">
            <v>70.453900000000004</v>
          </cell>
          <cell r="AX124">
            <v>46.386099999999999</v>
          </cell>
          <cell r="DO124">
            <v>124</v>
          </cell>
        </row>
        <row r="125">
          <cell r="A125" t="str">
            <v>Flagstaff, AZ Metro Area</v>
          </cell>
          <cell r="B125">
            <v>1274.7303588892071</v>
          </cell>
          <cell r="C125">
            <v>3934.2346316635412</v>
          </cell>
          <cell r="D125">
            <v>2675.4096235628867</v>
          </cell>
          <cell r="E125">
            <v>1459.3321000000001</v>
          </cell>
          <cell r="F125">
            <v>623.59505837475899</v>
          </cell>
          <cell r="I125">
            <v>3.5198</v>
          </cell>
          <cell r="J125">
            <v>247.38040000000001</v>
          </cell>
          <cell r="M125">
            <v>18.289100000000001</v>
          </cell>
          <cell r="Z125">
            <v>34.500767613636363</v>
          </cell>
          <cell r="AF125">
            <v>35.418500000000002</v>
          </cell>
          <cell r="AP125">
            <v>1.625</v>
          </cell>
          <cell r="AT125">
            <v>1.3805000000000001</v>
          </cell>
          <cell r="BR125">
            <v>435.97619294548787</v>
          </cell>
          <cell r="BS125">
            <v>2.7391000000000001</v>
          </cell>
          <cell r="CU125">
            <v>4.4260000000000002</v>
          </cell>
          <cell r="CV125">
            <v>3.4144999999999999</v>
          </cell>
          <cell r="CX125">
            <v>315.07080000000002</v>
          </cell>
          <cell r="CZ125">
            <v>0.7298</v>
          </cell>
          <cell r="DO125">
            <v>125</v>
          </cell>
        </row>
        <row r="126">
          <cell r="A126" t="str">
            <v>Flint, MI Metro Area</v>
          </cell>
          <cell r="B126">
            <v>3002.3852375303845</v>
          </cell>
          <cell r="C126">
            <v>3502.1593374952722</v>
          </cell>
          <cell r="D126">
            <v>3895.6423714717471</v>
          </cell>
          <cell r="E126">
            <v>2713.7210186486773</v>
          </cell>
          <cell r="F126">
            <v>2469.8429796508303</v>
          </cell>
          <cell r="G126">
            <v>1273.7782496362765</v>
          </cell>
          <cell r="H126">
            <v>949.85055822927939</v>
          </cell>
          <cell r="I126">
            <v>1219.6317527111805</v>
          </cell>
          <cell r="J126">
            <v>1308.4109580288261</v>
          </cell>
          <cell r="K126">
            <v>636.52094896051494</v>
          </cell>
          <cell r="L126">
            <v>276.37678110034727</v>
          </cell>
          <cell r="M126">
            <v>810.72640280979147</v>
          </cell>
          <cell r="N126">
            <v>248.97085103088298</v>
          </cell>
          <cell r="O126">
            <v>353.87000040952529</v>
          </cell>
          <cell r="P126">
            <v>1508.4257369771333</v>
          </cell>
          <cell r="Q126">
            <v>1119.0950044225556</v>
          </cell>
          <cell r="R126">
            <v>324.2164495443368</v>
          </cell>
          <cell r="DO126">
            <v>126</v>
          </cell>
        </row>
        <row r="127">
          <cell r="A127" t="str">
            <v>Florence, SC Metro Area</v>
          </cell>
          <cell r="B127">
            <v>1710.9091376570821</v>
          </cell>
          <cell r="C127">
            <v>1894.4919958507735</v>
          </cell>
          <cell r="D127">
            <v>1136.99864489931</v>
          </cell>
          <cell r="E127">
            <v>1980.4310209837656</v>
          </cell>
          <cell r="F127">
            <v>1219.0365668341101</v>
          </cell>
          <cell r="G127">
            <v>208.45686727934597</v>
          </cell>
          <cell r="H127">
            <v>793.67742770632367</v>
          </cell>
          <cell r="I127">
            <v>246.11038188244046</v>
          </cell>
          <cell r="K127">
            <v>357.24941069003489</v>
          </cell>
          <cell r="L127">
            <v>286.86058948359658</v>
          </cell>
          <cell r="N127">
            <v>37.531799999999997</v>
          </cell>
          <cell r="O127">
            <v>67.212528228708521</v>
          </cell>
          <cell r="Q127">
            <v>74.057199999999995</v>
          </cell>
          <cell r="R127">
            <v>68.996600000000001</v>
          </cell>
          <cell r="T127">
            <v>47.865880424886193</v>
          </cell>
          <cell r="U127">
            <v>65.146299999999997</v>
          </cell>
          <cell r="V127">
            <v>431.88125987024227</v>
          </cell>
          <cell r="W127">
            <v>692.38392158273371</v>
          </cell>
          <cell r="X127">
            <v>399.02237652181645</v>
          </cell>
          <cell r="Y127">
            <v>211.4991</v>
          </cell>
          <cell r="Z127">
            <v>122.06151874195488</v>
          </cell>
          <cell r="AF127">
            <v>71.341499999999996</v>
          </cell>
          <cell r="DO127">
            <v>127</v>
          </cell>
        </row>
        <row r="128">
          <cell r="A128" t="str">
            <v>Florence-Muscle Shoals, AL Metro Area</v>
          </cell>
          <cell r="B128">
            <v>2246.7585176852417</v>
          </cell>
          <cell r="C128">
            <v>1404.25820577581</v>
          </cell>
          <cell r="D128">
            <v>1919.3287195467151</v>
          </cell>
          <cell r="E128">
            <v>1551.4918835089663</v>
          </cell>
          <cell r="F128">
            <v>920.11730390231185</v>
          </cell>
          <cell r="G128">
            <v>339.52211644295301</v>
          </cell>
          <cell r="I128">
            <v>41.155000000000001</v>
          </cell>
          <cell r="J128">
            <v>97.927599999999998</v>
          </cell>
          <cell r="K128">
            <v>97.691299999999998</v>
          </cell>
          <cell r="L128">
            <v>94.899912495836929</v>
          </cell>
          <cell r="M128">
            <v>229.0215</v>
          </cell>
          <cell r="N128">
            <v>66.12979259854194</v>
          </cell>
          <cell r="P128">
            <v>106.65600000000001</v>
          </cell>
          <cell r="S128">
            <v>83.334800000000001</v>
          </cell>
          <cell r="T128">
            <v>17.497090468625895</v>
          </cell>
          <cell r="W128">
            <v>125.8366</v>
          </cell>
          <cell r="Y128">
            <v>58.219499999999989</v>
          </cell>
          <cell r="DO128">
            <v>128</v>
          </cell>
        </row>
        <row r="129">
          <cell r="A129" t="str">
            <v>Fond du Lac, WI Metro Area</v>
          </cell>
          <cell r="B129">
            <v>5511.1798463848909</v>
          </cell>
          <cell r="C129">
            <v>2211.3701199602669</v>
          </cell>
          <cell r="E129">
            <v>970.42470000000003</v>
          </cell>
          <cell r="F129">
            <v>143.2321</v>
          </cell>
          <cell r="I129">
            <v>49.49622343761952</v>
          </cell>
          <cell r="M129">
            <v>48.4617</v>
          </cell>
          <cell r="Q129">
            <v>85.357100000000003</v>
          </cell>
          <cell r="R129">
            <v>90.424989385538069</v>
          </cell>
          <cell r="U129">
            <v>150.49969999999999</v>
          </cell>
          <cell r="V129">
            <v>397.06559999999996</v>
          </cell>
          <cell r="DO129">
            <v>129</v>
          </cell>
        </row>
        <row r="130">
          <cell r="A130" t="str">
            <v>Fort Collins-Loveland, CO Metro Area</v>
          </cell>
          <cell r="B130">
            <v>4430.0191200079553</v>
          </cell>
          <cell r="C130">
            <v>5145.805346959869</v>
          </cell>
          <cell r="D130">
            <v>4010.3379849784101</v>
          </cell>
          <cell r="E130">
            <v>4253.1233140776703</v>
          </cell>
          <cell r="F130">
            <v>2701.9034968733263</v>
          </cell>
          <cell r="G130">
            <v>2459.6198050520306</v>
          </cell>
          <cell r="H130">
            <v>804.35164385234521</v>
          </cell>
          <cell r="I130">
            <v>834.09580000000005</v>
          </cell>
          <cell r="J130">
            <v>241.2640759684092</v>
          </cell>
          <cell r="L130">
            <v>3500.8649898485946</v>
          </cell>
          <cell r="M130">
            <v>943.53472415146166</v>
          </cell>
          <cell r="N130">
            <v>3310.9387285847984</v>
          </cell>
          <cell r="O130">
            <v>1386.0187169619012</v>
          </cell>
          <cell r="P130">
            <v>3009.5000635845959</v>
          </cell>
          <cell r="Q130">
            <v>1749.1885797207447</v>
          </cell>
          <cell r="R130">
            <v>3.1489999999999996</v>
          </cell>
          <cell r="U130">
            <v>517.9004343557217</v>
          </cell>
          <cell r="V130">
            <v>14.4293</v>
          </cell>
          <cell r="AB130">
            <v>286.71350000000001</v>
          </cell>
          <cell r="AD130">
            <v>115.63065863238205</v>
          </cell>
          <cell r="AE130">
            <v>0.42119999999999996</v>
          </cell>
          <cell r="DO130">
            <v>130</v>
          </cell>
        </row>
        <row r="131">
          <cell r="A131" t="str">
            <v>Fort Smith, AR-OK Metro Area</v>
          </cell>
          <cell r="B131">
            <v>1074.8095000000001</v>
          </cell>
          <cell r="C131">
            <v>4397.1068500056999</v>
          </cell>
          <cell r="D131">
            <v>2392.9585577878502</v>
          </cell>
          <cell r="E131">
            <v>1865.3522915198239</v>
          </cell>
          <cell r="F131">
            <v>387.35100617760617</v>
          </cell>
          <cell r="G131">
            <v>1217.6114525758487</v>
          </cell>
          <cell r="H131">
            <v>983.60990739113743</v>
          </cell>
          <cell r="J131">
            <v>196.4529</v>
          </cell>
          <cell r="K131">
            <v>84.328425835843916</v>
          </cell>
          <cell r="L131">
            <v>106.65292612401448</v>
          </cell>
          <cell r="M131">
            <v>135.60579999999999</v>
          </cell>
          <cell r="O131">
            <v>190.59018868983378</v>
          </cell>
          <cell r="P131">
            <v>31.6844</v>
          </cell>
          <cell r="Q131">
            <v>203.55452548390332</v>
          </cell>
          <cell r="R131">
            <v>47.332700000000003</v>
          </cell>
          <cell r="S131">
            <v>47.10560000000001</v>
          </cell>
          <cell r="U131">
            <v>65.554420237773584</v>
          </cell>
          <cell r="V131">
            <v>517.41700000000003</v>
          </cell>
          <cell r="W131">
            <v>35.724825621609405</v>
          </cell>
          <cell r="X131">
            <v>96.491023972434178</v>
          </cell>
          <cell r="Z131">
            <v>580.11710000000005</v>
          </cell>
          <cell r="AA131">
            <v>244.79509999999999</v>
          </cell>
          <cell r="AB131">
            <v>33.116100000000003</v>
          </cell>
          <cell r="AH131">
            <v>12.0611</v>
          </cell>
          <cell r="AI131">
            <v>38.561700000000002</v>
          </cell>
          <cell r="AK131">
            <v>91.147000000000006</v>
          </cell>
          <cell r="AL131">
            <v>26.79660937419521</v>
          </cell>
          <cell r="AM131">
            <v>28.469400000000004</v>
          </cell>
          <cell r="BE131">
            <v>6.774</v>
          </cell>
          <cell r="DO131">
            <v>131</v>
          </cell>
        </row>
        <row r="132">
          <cell r="A132" t="str">
            <v>Fort Wayne, IN Metro Area</v>
          </cell>
          <cell r="B132">
            <v>3797.9642533143033</v>
          </cell>
          <cell r="C132">
            <v>4821.9395590342465</v>
          </cell>
          <cell r="D132">
            <v>3307.1605806706448</v>
          </cell>
          <cell r="E132">
            <v>3220.3566631875478</v>
          </cell>
          <cell r="F132">
            <v>2230.8171232499044</v>
          </cell>
          <cell r="G132">
            <v>1733.157974104294</v>
          </cell>
          <cell r="H132">
            <v>1847.0803094599421</v>
          </cell>
          <cell r="I132">
            <v>1348.976260443229</v>
          </cell>
          <cell r="J132">
            <v>620.72162110760735</v>
          </cell>
          <cell r="K132">
            <v>499.75872896305731</v>
          </cell>
          <cell r="L132">
            <v>235.97145292079207</v>
          </cell>
          <cell r="M132">
            <v>42.143900000000002</v>
          </cell>
          <cell r="N132">
            <v>183.09714338014044</v>
          </cell>
          <cell r="P132">
            <v>106.47003817667482</v>
          </cell>
          <cell r="Q132">
            <v>106.5103111400506</v>
          </cell>
          <cell r="R132">
            <v>77.911299999999997</v>
          </cell>
          <cell r="S132">
            <v>52.663400000000003</v>
          </cell>
          <cell r="T132">
            <v>337.65764341475699</v>
          </cell>
          <cell r="X132">
            <v>229.73328146167557</v>
          </cell>
          <cell r="Y132">
            <v>655.82464079959641</v>
          </cell>
          <cell r="Z132">
            <v>808.02670000000001</v>
          </cell>
          <cell r="AA132">
            <v>60.137</v>
          </cell>
          <cell r="AG132">
            <v>24.7346</v>
          </cell>
          <cell r="DO132">
            <v>132</v>
          </cell>
        </row>
        <row r="133">
          <cell r="A133" t="str">
            <v>Fresno, CA Metro Area</v>
          </cell>
          <cell r="B133">
            <v>8029.5147106268623</v>
          </cell>
          <cell r="C133">
            <v>7351.5229571725158</v>
          </cell>
          <cell r="D133">
            <v>6523.3785978237393</v>
          </cell>
          <cell r="E133">
            <v>6700.0535569879921</v>
          </cell>
          <cell r="F133">
            <v>5960.5366664051126</v>
          </cell>
          <cell r="G133">
            <v>5202.2350007885607</v>
          </cell>
          <cell r="H133">
            <v>4490.2997714682597</v>
          </cell>
          <cell r="I133">
            <v>4088.5270205855754</v>
          </cell>
          <cell r="J133">
            <v>3894.8804284009516</v>
          </cell>
          <cell r="K133">
            <v>3567.9984684816491</v>
          </cell>
          <cell r="L133">
            <v>2531.6672279354452</v>
          </cell>
          <cell r="M133">
            <v>512.76031484114776</v>
          </cell>
          <cell r="N133">
            <v>1552.4844334439256</v>
          </cell>
          <cell r="O133">
            <v>1682.7715276492863</v>
          </cell>
          <cell r="P133">
            <v>537.34393964909066</v>
          </cell>
          <cell r="Q133">
            <v>1656.9443828949175</v>
          </cell>
          <cell r="R133">
            <v>1088.6127073982377</v>
          </cell>
          <cell r="S133">
            <v>279.87810000000002</v>
          </cell>
          <cell r="U133">
            <v>1335.1593657981221</v>
          </cell>
          <cell r="V133">
            <v>721.68677778733468</v>
          </cell>
          <cell r="W133">
            <v>3945.1573225945458</v>
          </cell>
          <cell r="Y133">
            <v>21.166</v>
          </cell>
          <cell r="Z133">
            <v>35.104700000000001</v>
          </cell>
          <cell r="AA133">
            <v>22.166799999999999</v>
          </cell>
          <cell r="AB133">
            <v>364.38709999999998</v>
          </cell>
          <cell r="AC133">
            <v>741.77589999999998</v>
          </cell>
          <cell r="AH133">
            <v>1.9835</v>
          </cell>
          <cell r="AI133">
            <v>224.09091632636463</v>
          </cell>
          <cell r="AJ133">
            <v>13.089399999999999</v>
          </cell>
          <cell r="AN133">
            <v>126.7243</v>
          </cell>
          <cell r="AO133">
            <v>26.0535</v>
          </cell>
          <cell r="AQ133">
            <v>24.045200000000001</v>
          </cell>
          <cell r="AW133">
            <v>6.5914000000000001</v>
          </cell>
          <cell r="AX133">
            <v>3.8995000000000002</v>
          </cell>
          <cell r="AY133">
            <v>4636.1180000000004</v>
          </cell>
          <cell r="BB133">
            <v>1392.275288594092</v>
          </cell>
          <cell r="DO133">
            <v>133</v>
          </cell>
        </row>
        <row r="134">
          <cell r="A134" t="str">
            <v>Gadsden, AL Metro Area</v>
          </cell>
          <cell r="B134">
            <v>1791.1854145659638</v>
          </cell>
          <cell r="C134">
            <v>2234.8794542975106</v>
          </cell>
          <cell r="D134">
            <v>834.10180280349118</v>
          </cell>
          <cell r="E134">
            <v>1036.6115769443074</v>
          </cell>
          <cell r="F134">
            <v>827.79920486437618</v>
          </cell>
          <cell r="G134">
            <v>225.2611</v>
          </cell>
          <cell r="H134">
            <v>297.50995374390124</v>
          </cell>
          <cell r="I134">
            <v>325.94657819454414</v>
          </cell>
          <cell r="J134">
            <v>46.604900000000001</v>
          </cell>
          <cell r="K134">
            <v>70.200800000000001</v>
          </cell>
          <cell r="L134">
            <v>62.378300000000003</v>
          </cell>
          <cell r="M134">
            <v>135.23431975901045</v>
          </cell>
          <cell r="Q134">
            <v>66.840900000000005</v>
          </cell>
          <cell r="DO134">
            <v>134</v>
          </cell>
        </row>
        <row r="135">
          <cell r="A135" t="str">
            <v>Gainesville, FL Metro Area</v>
          </cell>
          <cell r="B135">
            <v>6843.5664952204397</v>
          </cell>
          <cell r="C135">
            <v>4018.96394595216</v>
          </cell>
          <cell r="D135">
            <v>3656.4817001880019</v>
          </cell>
          <cell r="E135">
            <v>3650.236765999181</v>
          </cell>
          <cell r="F135">
            <v>2361.7099933191644</v>
          </cell>
          <cell r="G135">
            <v>3045.9471074864168</v>
          </cell>
          <cell r="H135">
            <v>1235.9205716130036</v>
          </cell>
          <cell r="I135">
            <v>867.45981933018663</v>
          </cell>
          <cell r="J135">
            <v>228.346146784674</v>
          </cell>
          <cell r="K135">
            <v>44.998199999999997</v>
          </cell>
          <cell r="L135">
            <v>146.95577989461358</v>
          </cell>
          <cell r="M135">
            <v>116.29889357714517</v>
          </cell>
          <cell r="O135">
            <v>79.572343209302318</v>
          </cell>
          <cell r="S135">
            <v>104.61217961634209</v>
          </cell>
          <cell r="X135">
            <v>45.687100000000001</v>
          </cell>
          <cell r="Z135">
            <v>52.262799999999999</v>
          </cell>
          <cell r="AE135">
            <v>58.264699999999998</v>
          </cell>
          <cell r="AI135">
            <v>37.161200000000001</v>
          </cell>
          <cell r="AJ135">
            <v>76.2256</v>
          </cell>
          <cell r="DO135">
            <v>135</v>
          </cell>
        </row>
        <row r="136">
          <cell r="A136" t="str">
            <v>Gainesville, GA Metro Area</v>
          </cell>
          <cell r="B136">
            <v>1954.5365671709189</v>
          </cell>
          <cell r="C136">
            <v>3160.00587195453</v>
          </cell>
          <cell r="D136">
            <v>1352.6804979771864</v>
          </cell>
          <cell r="E136">
            <v>848.51462879275061</v>
          </cell>
          <cell r="F136">
            <v>786.92393286566426</v>
          </cell>
          <cell r="G136">
            <v>432.98094887031698</v>
          </cell>
          <cell r="H136">
            <v>861.80317257910792</v>
          </cell>
          <cell r="I136">
            <v>303.04034584763218</v>
          </cell>
          <cell r="J136">
            <v>322.90077323833037</v>
          </cell>
          <cell r="K136">
            <v>596.305600849283</v>
          </cell>
          <cell r="L136">
            <v>601.01905975609759</v>
          </cell>
          <cell r="N136">
            <v>553.13545635111882</v>
          </cell>
          <cell r="O136">
            <v>732.48209999999995</v>
          </cell>
          <cell r="DO136">
            <v>136</v>
          </cell>
        </row>
        <row r="137">
          <cell r="A137" t="str">
            <v>Glens Falls, NY Metro Area</v>
          </cell>
          <cell r="B137">
            <v>4154.1762174421774</v>
          </cell>
          <cell r="D137">
            <v>1147.5897826480712</v>
          </cell>
          <cell r="E137">
            <v>1701.5870545875814</v>
          </cell>
          <cell r="F137">
            <v>194.86644814216478</v>
          </cell>
          <cell r="J137">
            <v>70.799895836785424</v>
          </cell>
          <cell r="K137">
            <v>90.98282647663423</v>
          </cell>
          <cell r="M137">
            <v>52.3003</v>
          </cell>
          <cell r="N137">
            <v>56.7896</v>
          </cell>
          <cell r="Q137">
            <v>91.132192496679934</v>
          </cell>
          <cell r="R137">
            <v>33.025500000000001</v>
          </cell>
          <cell r="S137">
            <v>25.114426205936923</v>
          </cell>
          <cell r="T137">
            <v>51.8508</v>
          </cell>
          <cell r="U137">
            <v>98.528025152692948</v>
          </cell>
          <cell r="V137">
            <v>48.439500000000002</v>
          </cell>
          <cell r="W137">
            <v>62.706099999999992</v>
          </cell>
          <cell r="Y137">
            <v>55.5884</v>
          </cell>
          <cell r="AA137">
            <v>70.028899999999993</v>
          </cell>
          <cell r="AC137">
            <v>33.014565424610055</v>
          </cell>
          <cell r="AD137">
            <v>16.120200000000001</v>
          </cell>
          <cell r="AE137">
            <v>11.7416</v>
          </cell>
          <cell r="DO137">
            <v>137</v>
          </cell>
        </row>
        <row r="138">
          <cell r="A138" t="str">
            <v>Goldsboro, NC Metro Area</v>
          </cell>
          <cell r="B138">
            <v>1065.7875466922094</v>
          </cell>
          <cell r="C138">
            <v>2203.7628142076901</v>
          </cell>
          <cell r="D138">
            <v>641.29914176344096</v>
          </cell>
          <cell r="E138">
            <v>351.4957</v>
          </cell>
          <cell r="F138">
            <v>1618.4931999999997</v>
          </cell>
          <cell r="G138">
            <v>375.16999984024454</v>
          </cell>
          <cell r="H138">
            <v>215.08173452464789</v>
          </cell>
          <cell r="I138">
            <v>257.90219999999999</v>
          </cell>
          <cell r="J138">
            <v>162.91175566037734</v>
          </cell>
          <cell r="K138">
            <v>134.8356</v>
          </cell>
          <cell r="M138">
            <v>110.7192</v>
          </cell>
          <cell r="N138">
            <v>61.441924361022366</v>
          </cell>
          <cell r="O138">
            <v>415.65558591796872</v>
          </cell>
          <cell r="DO138">
            <v>138</v>
          </cell>
        </row>
        <row r="139">
          <cell r="A139" t="str">
            <v>Grand Forks, ND-MN Metro Area</v>
          </cell>
          <cell r="B139">
            <v>4146.2578250564866</v>
          </cell>
          <cell r="C139">
            <v>3049.5484719809497</v>
          </cell>
          <cell r="D139">
            <v>3144.1735757956603</v>
          </cell>
          <cell r="E139">
            <v>1680.4065000000001</v>
          </cell>
          <cell r="H139">
            <v>16.066099999999999</v>
          </cell>
          <cell r="K139">
            <v>3.6764000000000001</v>
          </cell>
          <cell r="Q139">
            <v>291.07650000000001</v>
          </cell>
          <cell r="T139">
            <v>5.1252000000000004</v>
          </cell>
          <cell r="V139">
            <v>5.7565</v>
          </cell>
          <cell r="X139">
            <v>624.95282422902073</v>
          </cell>
          <cell r="AB139">
            <v>8.7891999999999992</v>
          </cell>
          <cell r="AC139">
            <v>5.7332000000000001</v>
          </cell>
          <cell r="AQ139">
            <v>8.8207000000000004</v>
          </cell>
          <cell r="BA139">
            <v>12.651300000000001</v>
          </cell>
          <cell r="BO139">
            <v>11.412100000000001</v>
          </cell>
          <cell r="DO139">
            <v>139</v>
          </cell>
        </row>
        <row r="140">
          <cell r="A140" t="str">
            <v>Grand Junction, CO Metro Area</v>
          </cell>
          <cell r="B140">
            <v>4039.8662596198155</v>
          </cell>
          <cell r="C140">
            <v>4117.9233869573563</v>
          </cell>
          <cell r="D140">
            <v>2176.1534379453433</v>
          </cell>
          <cell r="E140">
            <v>2378.5638898171219</v>
          </cell>
          <cell r="F140">
            <v>1265.0054980380135</v>
          </cell>
          <cell r="G140">
            <v>1430.4833232178644</v>
          </cell>
          <cell r="H140">
            <v>2158.4858999706012</v>
          </cell>
          <cell r="L140">
            <v>1367.5616948740226</v>
          </cell>
          <cell r="N140">
            <v>18.720600000000001</v>
          </cell>
          <cell r="AD140">
            <v>2.9853000000000001</v>
          </cell>
          <cell r="DO140">
            <v>140</v>
          </cell>
        </row>
        <row r="141">
          <cell r="A141" t="str">
            <v>Grand Rapids-Wyoming, MI Metro Area</v>
          </cell>
          <cell r="B141">
            <v>5829.1489964656193</v>
          </cell>
          <cell r="C141">
            <v>6242.2179098397019</v>
          </cell>
          <cell r="D141">
            <v>6031.7910296232812</v>
          </cell>
          <cell r="E141">
            <v>3526.270035718022</v>
          </cell>
          <cell r="F141">
            <v>3242.3209168631961</v>
          </cell>
          <cell r="G141">
            <v>2897.5038195040984</v>
          </cell>
          <cell r="H141">
            <v>2468.7177765001397</v>
          </cell>
          <cell r="I141">
            <v>2545.5320440434125</v>
          </cell>
          <cell r="J141">
            <v>1570.6268073051654</v>
          </cell>
          <cell r="K141">
            <v>1069.1012037306343</v>
          </cell>
          <cell r="L141">
            <v>454.01227301338264</v>
          </cell>
          <cell r="M141">
            <v>335.7963645312401</v>
          </cell>
          <cell r="N141">
            <v>973.49264898329238</v>
          </cell>
          <cell r="O141">
            <v>424.3152807470392</v>
          </cell>
          <cell r="P141">
            <v>248.93425957301451</v>
          </cell>
          <cell r="Q141">
            <v>225.2474</v>
          </cell>
          <cell r="R141">
            <v>284.55149319704157</v>
          </cell>
          <cell r="T141">
            <v>707.45360000000005</v>
          </cell>
          <cell r="U141">
            <v>185.55791190282082</v>
          </cell>
          <cell r="V141">
            <v>168.17949999999999</v>
          </cell>
          <cell r="W141">
            <v>107.7028</v>
          </cell>
          <cell r="X141">
            <v>114.3497</v>
          </cell>
          <cell r="Y141">
            <v>531.04973755662513</v>
          </cell>
          <cell r="Z141">
            <v>322.07509654312884</v>
          </cell>
          <cell r="AA141">
            <v>190.64320000000001</v>
          </cell>
          <cell r="AB141">
            <v>78.081599999999995</v>
          </cell>
          <cell r="AC141">
            <v>168.57719651525167</v>
          </cell>
          <cell r="AD141">
            <v>2215.0245763896978</v>
          </cell>
          <cell r="AE141">
            <v>279.95566841598458</v>
          </cell>
          <cell r="AF141">
            <v>461.13315640514179</v>
          </cell>
          <cell r="AG141">
            <v>83.99405893536121</v>
          </cell>
          <cell r="AJ141">
            <v>79.075400000000002</v>
          </cell>
          <cell r="AK141">
            <v>92.520643541208642</v>
          </cell>
          <cell r="AL141">
            <v>71.096999999999994</v>
          </cell>
          <cell r="AM141">
            <v>346.01708566821924</v>
          </cell>
          <cell r="AN141">
            <v>106.6446301404056</v>
          </cell>
          <cell r="AP141">
            <v>114.1380156976744</v>
          </cell>
          <cell r="AR141">
            <v>48.401600000000002</v>
          </cell>
          <cell r="AT141">
            <v>45.417200000000001</v>
          </cell>
          <cell r="BA141">
            <v>15.6538</v>
          </cell>
          <cell r="DO141">
            <v>141</v>
          </cell>
        </row>
        <row r="142">
          <cell r="A142" t="str">
            <v>Great Falls, MT Metro Area</v>
          </cell>
          <cell r="B142">
            <v>4134.0643105331983</v>
          </cell>
          <cell r="C142">
            <v>2822.4422366409904</v>
          </cell>
          <cell r="D142">
            <v>1944.2772661893835</v>
          </cell>
          <cell r="E142">
            <v>1170.5064635578215</v>
          </cell>
          <cell r="G142">
            <v>247.73765683014688</v>
          </cell>
          <cell r="Q142">
            <v>7.5109724752717062</v>
          </cell>
          <cell r="AB142">
            <v>2.2530999999999999</v>
          </cell>
          <cell r="DO142">
            <v>142</v>
          </cell>
        </row>
        <row r="143">
          <cell r="A143" t="str">
            <v>Greeley, CO Metro Area</v>
          </cell>
          <cell r="B143">
            <v>6273.507899976581</v>
          </cell>
          <cell r="C143">
            <v>4392.4220047131466</v>
          </cell>
          <cell r="D143">
            <v>4526.5293430040501</v>
          </cell>
          <cell r="E143">
            <v>3037.0497347773708</v>
          </cell>
          <cell r="F143">
            <v>1558.1556338202602</v>
          </cell>
          <cell r="G143">
            <v>1191.4237991749176</v>
          </cell>
          <cell r="H143">
            <v>100.00610000000002</v>
          </cell>
          <cell r="I143">
            <v>59.191485209467729</v>
          </cell>
          <cell r="K143">
            <v>157.22449466131582</v>
          </cell>
          <cell r="L143">
            <v>2695.5300999999999</v>
          </cell>
          <cell r="M143">
            <v>2223.7143076640891</v>
          </cell>
          <cell r="N143">
            <v>801.51044415703529</v>
          </cell>
          <cell r="O143">
            <v>357.01850000000002</v>
          </cell>
          <cell r="Q143">
            <v>33.805999999999997</v>
          </cell>
          <cell r="U143">
            <v>1.9692000000000001</v>
          </cell>
          <cell r="W143">
            <v>97.735282756807905</v>
          </cell>
          <cell r="X143">
            <v>2266.7384452601573</v>
          </cell>
          <cell r="Y143">
            <v>1131.2576731339825</v>
          </cell>
          <cell r="Z143">
            <v>364.00054621033303</v>
          </cell>
          <cell r="AA143">
            <v>417.51867529528653</v>
          </cell>
          <cell r="AB143">
            <v>346.7994497367867</v>
          </cell>
          <cell r="AC143">
            <v>224.46950000000004</v>
          </cell>
          <cell r="AE143">
            <v>57.695983999999996</v>
          </cell>
          <cell r="AF143">
            <v>80.766099999999994</v>
          </cell>
          <cell r="AH143">
            <v>1174.8427999999999</v>
          </cell>
          <cell r="AI143">
            <v>3108.6995000000002</v>
          </cell>
          <cell r="DO143">
            <v>143</v>
          </cell>
        </row>
        <row r="144">
          <cell r="A144" t="str">
            <v>Green Bay, WI Metro Area</v>
          </cell>
          <cell r="B144">
            <v>4167.9081925403234</v>
          </cell>
          <cell r="C144">
            <v>4734.4904700551451</v>
          </cell>
          <cell r="D144">
            <v>3937.1359278064115</v>
          </cell>
          <cell r="E144">
            <v>2636.0388294314062</v>
          </cell>
          <cell r="F144">
            <v>2020.0894456993983</v>
          </cell>
          <cell r="G144">
            <v>1490.3302396734493</v>
          </cell>
          <cell r="H144">
            <v>588.98188134230872</v>
          </cell>
          <cell r="J144">
            <v>312.62276796227746</v>
          </cell>
          <cell r="K144">
            <v>88.175299999999993</v>
          </cell>
          <cell r="N144">
            <v>105.88845950859951</v>
          </cell>
          <cell r="O144">
            <v>172.84030000000001</v>
          </cell>
          <cell r="Q144">
            <v>79.865399999999994</v>
          </cell>
          <cell r="R144">
            <v>53.42303682412232</v>
          </cell>
          <cell r="W144">
            <v>47.017699999999998</v>
          </cell>
          <cell r="X144">
            <v>58.143499999999996</v>
          </cell>
          <cell r="AA144">
            <v>31.912599999999998</v>
          </cell>
          <cell r="AB144">
            <v>102.73707630700777</v>
          </cell>
          <cell r="AD144">
            <v>562.70575363128501</v>
          </cell>
          <cell r="AF144">
            <v>46.109299999999998</v>
          </cell>
          <cell r="AH144">
            <v>30.851800000000001</v>
          </cell>
          <cell r="AN144">
            <v>25.512599999999996</v>
          </cell>
          <cell r="AS144">
            <v>12.862</v>
          </cell>
          <cell r="BI144">
            <v>11.822800000000001</v>
          </cell>
          <cell r="DO144">
            <v>144</v>
          </cell>
        </row>
        <row r="145">
          <cell r="A145" t="str">
            <v>Greensboro-High Point, NC Metro Area</v>
          </cell>
          <cell r="B145">
            <v>4670.9564792215115</v>
          </cell>
          <cell r="C145">
            <v>4377.7277503797386</v>
          </cell>
          <cell r="D145">
            <v>2828.8865309119542</v>
          </cell>
          <cell r="E145">
            <v>2561.1280557285463</v>
          </cell>
          <cell r="F145">
            <v>2890.7887043989704</v>
          </cell>
          <cell r="G145">
            <v>1437.9222328249373</v>
          </cell>
          <cell r="H145">
            <v>1480.1523675730114</v>
          </cell>
          <cell r="I145">
            <v>1527.7438604299666</v>
          </cell>
          <cell r="J145">
            <v>1113.4322285653652</v>
          </cell>
          <cell r="K145">
            <v>306.71987355272472</v>
          </cell>
          <cell r="L145">
            <v>894.89047116115421</v>
          </cell>
          <cell r="M145">
            <v>1403.3774946885646</v>
          </cell>
          <cell r="N145">
            <v>991.69515394522762</v>
          </cell>
          <cell r="O145">
            <v>2445.9982808830509</v>
          </cell>
          <cell r="P145">
            <v>881.22943911997811</v>
          </cell>
          <cell r="Q145">
            <v>1306.8411138204003</v>
          </cell>
          <cell r="R145">
            <v>1098.4818162853296</v>
          </cell>
          <cell r="S145">
            <v>293.69118344385026</v>
          </cell>
          <cell r="T145">
            <v>433.62298326080645</v>
          </cell>
          <cell r="U145">
            <v>309.69394462831923</v>
          </cell>
          <cell r="V145">
            <v>397.97059999999999</v>
          </cell>
          <cell r="W145">
            <v>349.11376145047171</v>
          </cell>
          <cell r="X145">
            <v>1169.0526760239386</v>
          </cell>
          <cell r="Y145">
            <v>118.2325930772769</v>
          </cell>
          <cell r="Z145">
            <v>506.32962600275039</v>
          </cell>
          <cell r="AA145">
            <v>673.38542683006006</v>
          </cell>
          <cell r="AB145">
            <v>464.18401340673967</v>
          </cell>
          <cell r="AC145">
            <v>95.080436055532871</v>
          </cell>
          <cell r="AD145">
            <v>404.00485107929273</v>
          </cell>
          <cell r="AE145">
            <v>363.26148860759491</v>
          </cell>
          <cell r="AF145">
            <v>627.48878630738523</v>
          </cell>
          <cell r="AG145">
            <v>252.47920000000002</v>
          </cell>
          <cell r="AH145">
            <v>43.698399999999999</v>
          </cell>
          <cell r="AI145">
            <v>42.812800000000003</v>
          </cell>
          <cell r="AJ145">
            <v>81.082800000000006</v>
          </cell>
          <cell r="DO145">
            <v>145</v>
          </cell>
        </row>
        <row r="146">
          <cell r="A146" t="str">
            <v>Greenville, NC Metro Area</v>
          </cell>
          <cell r="B146">
            <v>4479.0228287604687</v>
          </cell>
          <cell r="C146">
            <v>3624.0748962629236</v>
          </cell>
          <cell r="D146">
            <v>2482.7758463668342</v>
          </cell>
          <cell r="F146">
            <v>1273.3598832142382</v>
          </cell>
          <cell r="G146">
            <v>591.62054007497659</v>
          </cell>
          <cell r="H146">
            <v>300.18293636363637</v>
          </cell>
          <cell r="I146">
            <v>99.062200000000004</v>
          </cell>
          <cell r="K146">
            <v>85.088497254583217</v>
          </cell>
          <cell r="L146">
            <v>200.3768991042102</v>
          </cell>
          <cell r="M146">
            <v>101.777</v>
          </cell>
          <cell r="N146">
            <v>202.74871478521482</v>
          </cell>
          <cell r="Q146">
            <v>84.540700000000001</v>
          </cell>
          <cell r="R146">
            <v>177.71369999999999</v>
          </cell>
          <cell r="S146">
            <v>49.825400000000002</v>
          </cell>
          <cell r="V146">
            <v>134.11760000000001</v>
          </cell>
          <cell r="AA146">
            <v>69.134699999999995</v>
          </cell>
          <cell r="DO146">
            <v>146</v>
          </cell>
        </row>
        <row r="147">
          <cell r="A147" t="str">
            <v>Greenville-Mauldin-Easley, SC Metro Area</v>
          </cell>
          <cell r="B147">
            <v>2926.5241556637352</v>
          </cell>
          <cell r="C147">
            <v>2798.2826568138844</v>
          </cell>
          <cell r="D147">
            <v>2695.5499199417582</v>
          </cell>
          <cell r="E147">
            <v>2333.876331687477</v>
          </cell>
          <cell r="F147">
            <v>1527.2009484253488</v>
          </cell>
          <cell r="G147">
            <v>1630.4252524618464</v>
          </cell>
          <cell r="H147">
            <v>1572.5291156720828</v>
          </cell>
          <cell r="I147">
            <v>1422.7405464154351</v>
          </cell>
          <cell r="J147">
            <v>1731.6671663416287</v>
          </cell>
          <cell r="K147">
            <v>950.56292656814446</v>
          </cell>
          <cell r="L147">
            <v>836.23567816345985</v>
          </cell>
          <cell r="M147">
            <v>2018.4202846742555</v>
          </cell>
          <cell r="N147">
            <v>979.72949120467672</v>
          </cell>
          <cell r="O147">
            <v>483.13138815609409</v>
          </cell>
          <cell r="P147">
            <v>161.04140000000001</v>
          </cell>
          <cell r="Q147">
            <v>615.84515495439314</v>
          </cell>
          <cell r="R147">
            <v>128.27162363980716</v>
          </cell>
          <cell r="S147">
            <v>256.29891596401615</v>
          </cell>
          <cell r="U147">
            <v>62.571992557651996</v>
          </cell>
          <cell r="V147">
            <v>71.256572596843625</v>
          </cell>
          <cell r="W147">
            <v>208.62200000000001</v>
          </cell>
          <cell r="Y147">
            <v>326.8894144510495</v>
          </cell>
          <cell r="Z147">
            <v>140.67147546282692</v>
          </cell>
          <cell r="AA147">
            <v>1216.8885</v>
          </cell>
          <cell r="AB147">
            <v>1579.3861973037672</v>
          </cell>
          <cell r="AC147">
            <v>749.68240376512779</v>
          </cell>
          <cell r="AF147">
            <v>72.587418553285474</v>
          </cell>
          <cell r="AG147">
            <v>215.45820000000001</v>
          </cell>
          <cell r="AH147">
            <v>1033.9111</v>
          </cell>
          <cell r="AJ147">
            <v>110.015</v>
          </cell>
          <cell r="AK147">
            <v>59.798200000000001</v>
          </cell>
          <cell r="AN147">
            <v>425.089</v>
          </cell>
          <cell r="AO147">
            <v>40.461100000000002</v>
          </cell>
          <cell r="AP147">
            <v>187.95728160660659</v>
          </cell>
          <cell r="AU147">
            <v>46.471117903415788</v>
          </cell>
          <cell r="DO147">
            <v>147</v>
          </cell>
        </row>
        <row r="148">
          <cell r="A148" t="str">
            <v>Gulfport-Biloxi, MS Metro Area</v>
          </cell>
          <cell r="B148">
            <v>2083.707812983374</v>
          </cell>
          <cell r="C148">
            <v>2985.1199245163784</v>
          </cell>
          <cell r="D148">
            <v>1061.5501485031991</v>
          </cell>
          <cell r="E148">
            <v>1734.8567127111601</v>
          </cell>
          <cell r="F148">
            <v>1622.1674554632555</v>
          </cell>
          <cell r="G148">
            <v>1531.8083556827276</v>
          </cell>
          <cell r="H148">
            <v>1546.0859770568816</v>
          </cell>
          <cell r="I148">
            <v>1769.7329999999997</v>
          </cell>
          <cell r="J148">
            <v>1210.5828771273605</v>
          </cell>
          <cell r="K148">
            <v>1066.5036575294225</v>
          </cell>
          <cell r="L148">
            <v>1133.6624141327777</v>
          </cell>
          <cell r="M148">
            <v>847.33479541461963</v>
          </cell>
          <cell r="N148">
            <v>1936.8924549861497</v>
          </cell>
          <cell r="O148">
            <v>408.14659999999998</v>
          </cell>
          <cell r="P148">
            <v>87.072500000000005</v>
          </cell>
          <cell r="Q148">
            <v>419.73430085222873</v>
          </cell>
          <cell r="R148">
            <v>759.57719999999995</v>
          </cell>
          <cell r="T148">
            <v>492.11909450374594</v>
          </cell>
          <cell r="V148">
            <v>33.455399999999997</v>
          </cell>
          <cell r="AA148">
            <v>54.381300000000003</v>
          </cell>
          <cell r="AD148">
            <v>22.091699999999999</v>
          </cell>
          <cell r="AE148">
            <v>30.4055</v>
          </cell>
          <cell r="AF148">
            <v>33.814599999999999</v>
          </cell>
          <cell r="AI148">
            <v>432.76510000000002</v>
          </cell>
          <cell r="DO148">
            <v>148</v>
          </cell>
        </row>
        <row r="149">
          <cell r="A149" t="str">
            <v>Hagerstown-Martinsburg, MD-WV Metro Area</v>
          </cell>
          <cell r="B149">
            <v>7177.5270252555874</v>
          </cell>
          <cell r="C149">
            <v>2726.0493710227929</v>
          </cell>
          <cell r="D149">
            <v>1327.4748950661551</v>
          </cell>
          <cell r="E149">
            <v>851.45777330107489</v>
          </cell>
          <cell r="G149">
            <v>1415.0508615678975</v>
          </cell>
          <cell r="H149">
            <v>169.60168548426151</v>
          </cell>
          <cell r="I149">
            <v>356.13330000000002</v>
          </cell>
          <cell r="K149">
            <v>303.03530000000001</v>
          </cell>
          <cell r="L149">
            <v>466.76318766707169</v>
          </cell>
          <cell r="N149">
            <v>69.129300000000001</v>
          </cell>
          <cell r="O149">
            <v>206.68083492063494</v>
          </cell>
          <cell r="P149">
            <v>145.07589999999999</v>
          </cell>
          <cell r="Q149">
            <v>640.75909999999999</v>
          </cell>
          <cell r="R149">
            <v>303.21862999412616</v>
          </cell>
          <cell r="T149">
            <v>2773.0830815500854</v>
          </cell>
          <cell r="U149">
            <v>1136.7174127688231</v>
          </cell>
          <cell r="X149">
            <v>351.02169684612539</v>
          </cell>
          <cell r="AA149">
            <v>64.561300000000003</v>
          </cell>
          <cell r="AB149">
            <v>314.44434904912833</v>
          </cell>
          <cell r="AD149">
            <v>294.16980000000001</v>
          </cell>
          <cell r="AF149">
            <v>61.866399999999999</v>
          </cell>
          <cell r="AK149">
            <v>34.875799999999998</v>
          </cell>
          <cell r="DO149">
            <v>149</v>
          </cell>
        </row>
        <row r="150">
          <cell r="A150" t="str">
            <v>Hanford-Corcoran, CA Metro Area</v>
          </cell>
          <cell r="B150">
            <v>5261.0524999999998</v>
          </cell>
          <cell r="C150">
            <v>2223.0959645263997</v>
          </cell>
          <cell r="D150">
            <v>4121.9748610857359</v>
          </cell>
          <cell r="E150">
            <v>451.27449999999999</v>
          </cell>
          <cell r="F150">
            <v>16.4193</v>
          </cell>
          <cell r="G150">
            <v>35.085099999999997</v>
          </cell>
          <cell r="I150">
            <v>3333.077395035461</v>
          </cell>
          <cell r="J150">
            <v>3383.0645844734927</v>
          </cell>
          <cell r="L150">
            <v>36.1419</v>
          </cell>
          <cell r="P150">
            <v>274.95639999999997</v>
          </cell>
          <cell r="R150">
            <v>2827.0833299516908</v>
          </cell>
          <cell r="S150">
            <v>1430.7743384410749</v>
          </cell>
          <cell r="U150">
            <v>6134.2383</v>
          </cell>
          <cell r="AK150">
            <v>30.020900000000001</v>
          </cell>
          <cell r="AL150">
            <v>8131.7290999999987</v>
          </cell>
          <cell r="DO150">
            <v>150</v>
          </cell>
        </row>
        <row r="151">
          <cell r="A151" t="str">
            <v>Harrisburg-Carlisle, PA Metro Area</v>
          </cell>
          <cell r="B151">
            <v>12490.689601716984</v>
          </cell>
          <cell r="C151">
            <v>7208.85362588304</v>
          </cell>
          <cell r="D151">
            <v>4479.82733890702</v>
          </cell>
          <cell r="E151">
            <v>2212.3048793053404</v>
          </cell>
          <cell r="F151">
            <v>2505.2148889782875</v>
          </cell>
          <cell r="G151">
            <v>1744.1678741146291</v>
          </cell>
          <cell r="H151">
            <v>1696.5888599297657</v>
          </cell>
          <cell r="I151">
            <v>1952.2450820705865</v>
          </cell>
          <cell r="J151">
            <v>907.14004162035201</v>
          </cell>
          <cell r="K151">
            <v>2218.8542950044521</v>
          </cell>
          <cell r="M151">
            <v>422.78587429864263</v>
          </cell>
          <cell r="N151">
            <v>1628.4284550326952</v>
          </cell>
          <cell r="O151">
            <v>337.5852189665456</v>
          </cell>
          <cell r="P151">
            <v>144.4111</v>
          </cell>
          <cell r="Q151">
            <v>604.46711552888223</v>
          </cell>
          <cell r="R151">
            <v>3419.9619548227943</v>
          </cell>
          <cell r="S151">
            <v>2249.0797966921396</v>
          </cell>
          <cell r="T151">
            <v>170.84076669743828</v>
          </cell>
          <cell r="U151">
            <v>1083.0383423027165</v>
          </cell>
          <cell r="V151">
            <v>176.74938077162415</v>
          </cell>
          <cell r="W151">
            <v>114.01849999999999</v>
          </cell>
          <cell r="Y151">
            <v>142.70641700801426</v>
          </cell>
          <cell r="AA151">
            <v>69.903508447620155</v>
          </cell>
          <cell r="AB151">
            <v>143.15119480489494</v>
          </cell>
          <cell r="AC151">
            <v>73.940600000000003</v>
          </cell>
          <cell r="AD151">
            <v>3150.6884</v>
          </cell>
          <cell r="AG151">
            <v>20.703600000000002</v>
          </cell>
          <cell r="AJ151">
            <v>114.8954</v>
          </cell>
          <cell r="AL151">
            <v>2675.9964958474316</v>
          </cell>
          <cell r="DO151">
            <v>151</v>
          </cell>
        </row>
        <row r="152">
          <cell r="A152" t="str">
            <v>Harrisonburg, VA Metro Area</v>
          </cell>
          <cell r="B152">
            <v>6852.6504209092209</v>
          </cell>
          <cell r="C152">
            <v>3550.2750970223137</v>
          </cell>
          <cell r="D152">
            <v>2773.4639077627244</v>
          </cell>
          <cell r="E152">
            <v>301.17904670357325</v>
          </cell>
          <cell r="F152">
            <v>183.53720000000001</v>
          </cell>
          <cell r="G152">
            <v>163.79299454022987</v>
          </cell>
          <cell r="H152">
            <v>983.89981226040982</v>
          </cell>
          <cell r="I152">
            <v>109.75212963249514</v>
          </cell>
          <cell r="K152">
            <v>81.061288205707257</v>
          </cell>
          <cell r="L152">
            <v>85.108686664387079</v>
          </cell>
          <cell r="N152">
            <v>191.24989666520787</v>
          </cell>
          <cell r="P152">
            <v>192.31978374464313</v>
          </cell>
          <cell r="Q152">
            <v>98.413899999999998</v>
          </cell>
          <cell r="R152">
            <v>16.041599999999999</v>
          </cell>
          <cell r="DO152">
            <v>152</v>
          </cell>
        </row>
        <row r="153">
          <cell r="A153" t="str">
            <v>Hartford-West Hartford-East Hartford, CT Metro Area</v>
          </cell>
          <cell r="B153">
            <v>13341.363381196581</v>
          </cell>
          <cell r="C153">
            <v>12326.029790080687</v>
          </cell>
          <cell r="D153">
            <v>7235.6497450276138</v>
          </cell>
          <cell r="E153">
            <v>3168.9419170630895</v>
          </cell>
          <cell r="F153">
            <v>2892.5601076544644</v>
          </cell>
          <cell r="G153">
            <v>1662.7368967319369</v>
          </cell>
          <cell r="H153">
            <v>2548.0677986280562</v>
          </cell>
          <cell r="I153">
            <v>3051.3071062255067</v>
          </cell>
          <cell r="J153">
            <v>5257.9521280477002</v>
          </cell>
          <cell r="K153">
            <v>2599.6453692981663</v>
          </cell>
          <cell r="L153">
            <v>1205.2767149331396</v>
          </cell>
          <cell r="M153">
            <v>2365.4753767585089</v>
          </cell>
          <cell r="N153">
            <v>1505.3274805972858</v>
          </cell>
          <cell r="O153">
            <v>1803.9927877966825</v>
          </cell>
          <cell r="P153">
            <v>1786.3833016297949</v>
          </cell>
          <cell r="Q153">
            <v>1622.0473952670493</v>
          </cell>
          <cell r="R153">
            <v>1593.7358335978281</v>
          </cell>
          <cell r="S153">
            <v>899.52907422481508</v>
          </cell>
          <cell r="T153">
            <v>582.93183349201115</v>
          </cell>
          <cell r="U153">
            <v>1368.9792684948727</v>
          </cell>
          <cell r="V153">
            <v>399.05503744268975</v>
          </cell>
          <cell r="W153">
            <v>6559.9527789643143</v>
          </cell>
          <cell r="X153">
            <v>274.48912229344415</v>
          </cell>
          <cell r="Y153">
            <v>1128.9851000000001</v>
          </cell>
          <cell r="Z153">
            <v>184.6104</v>
          </cell>
          <cell r="AA153">
            <v>107.8094</v>
          </cell>
          <cell r="AB153">
            <v>166.5436049796748</v>
          </cell>
          <cell r="AC153">
            <v>184.68260000000001</v>
          </cell>
          <cell r="AE153">
            <v>342.54480000000001</v>
          </cell>
          <cell r="AG153">
            <v>642.44599999999991</v>
          </cell>
          <cell r="AH153">
            <v>694.12494930244793</v>
          </cell>
          <cell r="AJ153">
            <v>664.69192430077931</v>
          </cell>
          <cell r="AL153">
            <v>1009.5465</v>
          </cell>
          <cell r="DO153">
            <v>153</v>
          </cell>
        </row>
        <row r="154">
          <cell r="A154" t="str">
            <v>Hattiesburg, MS Metro Area</v>
          </cell>
          <cell r="B154">
            <v>1888.1517306865949</v>
          </cell>
          <cell r="C154">
            <v>2139.1949451923756</v>
          </cell>
          <cell r="D154">
            <v>2421.4870892128552</v>
          </cell>
          <cell r="E154">
            <v>1396.4676762088754</v>
          </cell>
          <cell r="F154">
            <v>804.11684022745931</v>
          </cell>
          <cell r="G154">
            <v>123.61880436403695</v>
          </cell>
          <cell r="H154">
            <v>146.1155</v>
          </cell>
          <cell r="J154">
            <v>475.52036831111724</v>
          </cell>
          <cell r="P154">
            <v>64.322697185042088</v>
          </cell>
          <cell r="Q154">
            <v>68.722099999999998</v>
          </cell>
          <cell r="R154">
            <v>27.252799999999997</v>
          </cell>
          <cell r="S154">
            <v>31.077400000000001</v>
          </cell>
          <cell r="T154">
            <v>33.198</v>
          </cell>
          <cell r="Y154">
            <v>34.803488941176468</v>
          </cell>
          <cell r="DO154">
            <v>154</v>
          </cell>
        </row>
        <row r="155">
          <cell r="A155" t="str">
            <v>Hickory-Lenoir-Morganton, NC Metro Area</v>
          </cell>
          <cell r="B155">
            <v>1865.5426</v>
          </cell>
          <cell r="C155">
            <v>2024.6966394590663</v>
          </cell>
          <cell r="D155">
            <v>1621.8652127668693</v>
          </cell>
          <cell r="E155">
            <v>891.45158693553219</v>
          </cell>
          <cell r="F155">
            <v>807.74884796328161</v>
          </cell>
          <cell r="G155">
            <v>438.783516505514</v>
          </cell>
          <cell r="H155">
            <v>480.82394197638831</v>
          </cell>
          <cell r="I155">
            <v>638.10361456636633</v>
          </cell>
          <cell r="J155">
            <v>583.71773213049119</v>
          </cell>
          <cell r="K155">
            <v>225.27050677966102</v>
          </cell>
          <cell r="L155">
            <v>188.38704767696092</v>
          </cell>
          <cell r="M155">
            <v>389.88295268014616</v>
          </cell>
          <cell r="N155">
            <v>383.1262736954551</v>
          </cell>
          <cell r="O155">
            <v>516.38238487322724</v>
          </cell>
          <cell r="P155">
            <v>333.0286949512622</v>
          </cell>
          <cell r="Q155">
            <v>386.63129788645409</v>
          </cell>
          <cell r="R155">
            <v>332.07996617013725</v>
          </cell>
          <cell r="S155">
            <v>1030.2623886414021</v>
          </cell>
          <cell r="T155">
            <v>886.40914066296432</v>
          </cell>
          <cell r="U155">
            <v>203.81628484433801</v>
          </cell>
          <cell r="V155">
            <v>484.90322968693556</v>
          </cell>
          <cell r="W155">
            <v>204.89399973062905</v>
          </cell>
          <cell r="X155">
            <v>270.22109999999998</v>
          </cell>
          <cell r="Z155">
            <v>194.43129082198217</v>
          </cell>
          <cell r="AB155">
            <v>246.38080000000002</v>
          </cell>
          <cell r="AC155">
            <v>38.43</v>
          </cell>
          <cell r="DO155">
            <v>155</v>
          </cell>
        </row>
        <row r="156">
          <cell r="A156" t="str">
            <v>Hinesville-Fort Stewart, GA Metro Area</v>
          </cell>
          <cell r="B156">
            <v>1706.1850999999999</v>
          </cell>
          <cell r="C156">
            <v>1083.3104637182121</v>
          </cell>
          <cell r="D156">
            <v>1879.5183685977511</v>
          </cell>
          <cell r="E156">
            <v>688.20949570317032</v>
          </cell>
          <cell r="G156">
            <v>1052.6841999999999</v>
          </cell>
          <cell r="K156">
            <v>122.24590000000001</v>
          </cell>
          <cell r="L156">
            <v>39.538327422907486</v>
          </cell>
          <cell r="P156">
            <v>41.076599999999999</v>
          </cell>
          <cell r="DO156">
            <v>156</v>
          </cell>
        </row>
        <row r="157">
          <cell r="A157" t="str">
            <v>Holland-Grand Haven, MI Metro Area</v>
          </cell>
          <cell r="B157">
            <v>4674.2844027037254</v>
          </cell>
          <cell r="C157">
            <v>1786.1753000000001</v>
          </cell>
          <cell r="D157">
            <v>2259.8072050798801</v>
          </cell>
          <cell r="E157">
            <v>1177.2489091786699</v>
          </cell>
          <cell r="F157">
            <v>1279.545841433742</v>
          </cell>
          <cell r="G157">
            <v>625.08939999999996</v>
          </cell>
          <cell r="H157">
            <v>281.11799999999999</v>
          </cell>
          <cell r="I157">
            <v>169.07830000000001</v>
          </cell>
          <cell r="J157">
            <v>153.99198492993742</v>
          </cell>
          <cell r="N157">
            <v>352.92257077872017</v>
          </cell>
          <cell r="O157">
            <v>1635.8114753448708</v>
          </cell>
          <cell r="P157">
            <v>863.59083484922496</v>
          </cell>
          <cell r="Q157">
            <v>1180.991353614332</v>
          </cell>
          <cell r="R157">
            <v>2529.7270037696021</v>
          </cell>
          <cell r="S157">
            <v>2045.5649014561461</v>
          </cell>
          <cell r="T157">
            <v>1217.7541000000001</v>
          </cell>
          <cell r="U157">
            <v>1158.28611224272</v>
          </cell>
          <cell r="V157">
            <v>1031.4489411524733</v>
          </cell>
          <cell r="W157">
            <v>862.68913508113189</v>
          </cell>
          <cell r="X157">
            <v>725.34880653314269</v>
          </cell>
          <cell r="AA157">
            <v>71.995900000000006</v>
          </cell>
          <cell r="DO157">
            <v>157</v>
          </cell>
        </row>
        <row r="158">
          <cell r="A158" t="str">
            <v>Honolulu, HI Metro Area</v>
          </cell>
          <cell r="B158">
            <v>23276.707638950422</v>
          </cell>
          <cell r="C158">
            <v>24060.950609997537</v>
          </cell>
          <cell r="D158">
            <v>26979.794273352411</v>
          </cell>
          <cell r="E158">
            <v>23445.584346639018</v>
          </cell>
          <cell r="F158">
            <v>10981.767155100288</v>
          </cell>
          <cell r="G158">
            <v>5459.9481772131066</v>
          </cell>
          <cell r="H158">
            <v>4523.9027903103406</v>
          </cell>
          <cell r="I158">
            <v>7530.9152862984711</v>
          </cell>
          <cell r="J158">
            <v>4890.9927109975124</v>
          </cell>
          <cell r="K158">
            <v>6802.5218669725491</v>
          </cell>
          <cell r="L158">
            <v>8457.1652073628884</v>
          </cell>
          <cell r="M158">
            <v>8833.7783947765729</v>
          </cell>
          <cell r="N158">
            <v>4555.2915338827343</v>
          </cell>
          <cell r="O158">
            <v>4460.4917049792148</v>
          </cell>
          <cell r="P158">
            <v>6122.4490909632596</v>
          </cell>
          <cell r="Q158">
            <v>3319.9932594730094</v>
          </cell>
          <cell r="R158">
            <v>7100.4386661835533</v>
          </cell>
          <cell r="S158">
            <v>2390.3944793124124</v>
          </cell>
          <cell r="T158">
            <v>5048.1726764872219</v>
          </cell>
          <cell r="U158">
            <v>275.71251978554136</v>
          </cell>
          <cell r="V158">
            <v>45.285200000000003</v>
          </cell>
          <cell r="W158">
            <v>3301.6086956121298</v>
          </cell>
          <cell r="X158">
            <v>3223.5119</v>
          </cell>
          <cell r="Y158">
            <v>720.31952053508894</v>
          </cell>
          <cell r="Z158">
            <v>2474.7664</v>
          </cell>
          <cell r="AA158">
            <v>2710.9420638826787</v>
          </cell>
          <cell r="AB158">
            <v>260.90109999999999</v>
          </cell>
          <cell r="DL158">
            <v>0</v>
          </cell>
          <cell r="DO158">
            <v>158</v>
          </cell>
        </row>
        <row r="159">
          <cell r="A159" t="str">
            <v>Hot Springs, AR Metro Area</v>
          </cell>
          <cell r="B159">
            <v>1123.4745903067485</v>
          </cell>
          <cell r="C159">
            <v>1717.6621218446082</v>
          </cell>
          <cell r="D159">
            <v>861.0822597603235</v>
          </cell>
          <cell r="E159">
            <v>916.02311370679365</v>
          </cell>
          <cell r="F159">
            <v>1090.2090000000001</v>
          </cell>
          <cell r="G159">
            <v>707.73289999999997</v>
          </cell>
          <cell r="H159">
            <v>295.21785180578001</v>
          </cell>
          <cell r="J159">
            <v>76.849999999999994</v>
          </cell>
          <cell r="L159">
            <v>290.27030000000002</v>
          </cell>
          <cell r="M159">
            <v>77.358000000000004</v>
          </cell>
          <cell r="N159">
            <v>21.8062</v>
          </cell>
          <cell r="DO159">
            <v>159</v>
          </cell>
        </row>
        <row r="160">
          <cell r="A160" t="str">
            <v>Houma-Bayou Cane-Thibodaux, LA Metro Area</v>
          </cell>
          <cell r="B160">
            <v>1525.7502276042621</v>
          </cell>
          <cell r="C160">
            <v>2323.4131348538549</v>
          </cell>
          <cell r="D160">
            <v>1887.9681558936848</v>
          </cell>
          <cell r="E160">
            <v>28.358300000000003</v>
          </cell>
          <cell r="F160">
            <v>976.53240000000005</v>
          </cell>
          <cell r="G160">
            <v>431.62338335511106</v>
          </cell>
          <cell r="H160">
            <v>321.1123</v>
          </cell>
          <cell r="I160">
            <v>47.072099999999999</v>
          </cell>
          <cell r="J160">
            <v>244.88432151785099</v>
          </cell>
          <cell r="K160">
            <v>155.81998161950125</v>
          </cell>
          <cell r="L160">
            <v>1296.3163999999999</v>
          </cell>
          <cell r="M160">
            <v>701.75400759328659</v>
          </cell>
          <cell r="N160">
            <v>531.81303811533053</v>
          </cell>
          <cell r="O160">
            <v>42.493000000000002</v>
          </cell>
          <cell r="P160">
            <v>1370.9910029489026</v>
          </cell>
          <cell r="Q160">
            <v>1646.286941927189</v>
          </cell>
          <cell r="R160">
            <v>69.474999999999994</v>
          </cell>
          <cell r="S160">
            <v>46.994900000000001</v>
          </cell>
          <cell r="U160">
            <v>94.765100000000004</v>
          </cell>
          <cell r="V160">
            <v>806.50840000000005</v>
          </cell>
          <cell r="Y160">
            <v>216.59819999999999</v>
          </cell>
          <cell r="AA160">
            <v>24.7683</v>
          </cell>
          <cell r="AC160">
            <v>36.487699999999997</v>
          </cell>
          <cell r="AF160">
            <v>647.96720000000005</v>
          </cell>
          <cell r="DO160">
            <v>160</v>
          </cell>
        </row>
        <row r="161">
          <cell r="A161" t="str">
            <v>Houston-Sugar Land-Baytown, TX Metro Area</v>
          </cell>
          <cell r="B161">
            <v>19010.360891099943</v>
          </cell>
          <cell r="C161">
            <v>6291.8373076268745</v>
          </cell>
          <cell r="D161">
            <v>6300.20174375033</v>
          </cell>
          <cell r="E161">
            <v>5025.4503770000438</v>
          </cell>
          <cell r="F161">
            <v>5329.6565512766447</v>
          </cell>
          <cell r="G161">
            <v>5582.6547304505839</v>
          </cell>
          <cell r="H161">
            <v>6371.039424795269</v>
          </cell>
          <cell r="I161">
            <v>8795.01966794494</v>
          </cell>
          <cell r="J161">
            <v>5526.6204478054342</v>
          </cell>
          <cell r="K161">
            <v>5641.6253700354637</v>
          </cell>
          <cell r="L161">
            <v>5543.8639926085762</v>
          </cell>
          <cell r="M161">
            <v>6737.1642675974217</v>
          </cell>
          <cell r="N161">
            <v>6085.8442334915699</v>
          </cell>
          <cell r="O161">
            <v>5265.9816809176409</v>
          </cell>
          <cell r="P161">
            <v>5138.3925695041244</v>
          </cell>
          <cell r="Q161">
            <v>3840.139942569474</v>
          </cell>
          <cell r="R161">
            <v>4142.5030142845617</v>
          </cell>
          <cell r="S161">
            <v>4091.7298968295922</v>
          </cell>
          <cell r="T161">
            <v>4076.3242044190283</v>
          </cell>
          <cell r="U161">
            <v>4212.670351657961</v>
          </cell>
          <cell r="V161">
            <v>3106.098366895556</v>
          </cell>
          <cell r="W161">
            <v>3318.8910540957309</v>
          </cell>
          <cell r="X161">
            <v>2731.2130055515763</v>
          </cell>
          <cell r="Y161">
            <v>2757.049154027246</v>
          </cell>
          <cell r="Z161">
            <v>2051.0476326705971</v>
          </cell>
          <cell r="AA161">
            <v>1992.213799356909</v>
          </cell>
          <cell r="AB161">
            <v>1751.8880307090838</v>
          </cell>
          <cell r="AC161">
            <v>1318.6071788518473</v>
          </cell>
          <cell r="AD161">
            <v>1284.6952107809866</v>
          </cell>
          <cell r="AE161">
            <v>1263.9522651913387</v>
          </cell>
          <cell r="AF161">
            <v>1821.842575313251</v>
          </cell>
          <cell r="AG161">
            <v>954.77192657263015</v>
          </cell>
          <cell r="AH161">
            <v>1361.755646086262</v>
          </cell>
          <cell r="AI161">
            <v>425.9534226711819</v>
          </cell>
          <cell r="AJ161">
            <v>547.76748659546138</v>
          </cell>
          <cell r="AK161">
            <v>684.19969185500054</v>
          </cell>
          <cell r="AL161">
            <v>1236.6146886556944</v>
          </cell>
          <cell r="AM161">
            <v>1977.3329846155459</v>
          </cell>
          <cell r="AN161">
            <v>1004.4957987207376</v>
          </cell>
          <cell r="AO161">
            <v>718.73313935567467</v>
          </cell>
          <cell r="AP161">
            <v>1139.1185687410587</v>
          </cell>
          <cell r="AQ161">
            <v>231.90945650197389</v>
          </cell>
          <cell r="AR161">
            <v>287.87028124674873</v>
          </cell>
          <cell r="AS161">
            <v>222.97876113848019</v>
          </cell>
          <cell r="AT161">
            <v>923.44361925786745</v>
          </cell>
          <cell r="AU161">
            <v>352.03668041423748</v>
          </cell>
          <cell r="AV161">
            <v>4607.8263813660215</v>
          </cell>
          <cell r="AW161">
            <v>2206.3678517091694</v>
          </cell>
          <cell r="AX161">
            <v>653.28543391432788</v>
          </cell>
          <cell r="AY161">
            <v>924.9713214771532</v>
          </cell>
          <cell r="AZ161">
            <v>1829.2269600018569</v>
          </cell>
          <cell r="BA161">
            <v>1844.7919999999999</v>
          </cell>
          <cell r="BB161">
            <v>27.523299999999999</v>
          </cell>
          <cell r="BC161">
            <v>115.65612695110418</v>
          </cell>
          <cell r="BD161">
            <v>1731.4335000000001</v>
          </cell>
          <cell r="BE161">
            <v>52.863606304946273</v>
          </cell>
          <cell r="BF161">
            <v>167.93088817633409</v>
          </cell>
          <cell r="BG161">
            <v>23.636299999999999</v>
          </cell>
          <cell r="BI161">
            <v>42.903400000000005</v>
          </cell>
          <cell r="BJ161">
            <v>59.678799999999995</v>
          </cell>
          <cell r="BP161">
            <v>19.256900000000002</v>
          </cell>
          <cell r="BS161">
            <v>37.591700000000003</v>
          </cell>
          <cell r="DO161">
            <v>161</v>
          </cell>
        </row>
        <row r="162">
          <cell r="A162" t="str">
            <v>Huntington-Ashland, WV-KY-OH Metro Area</v>
          </cell>
          <cell r="B162">
            <v>6096.1248829900896</v>
          </cell>
          <cell r="C162">
            <v>3659.6825578347889</v>
          </cell>
          <cell r="D162">
            <v>3244.6494229873852</v>
          </cell>
          <cell r="E162">
            <v>1571.1642755894059</v>
          </cell>
          <cell r="F162">
            <v>605.0073434090292</v>
          </cell>
          <cell r="G162">
            <v>475.13709728969275</v>
          </cell>
          <cell r="H162">
            <v>1867.0078033034888</v>
          </cell>
          <cell r="I162">
            <v>1682.5976889353042</v>
          </cell>
          <cell r="J162">
            <v>440.15541915954412</v>
          </cell>
          <cell r="K162">
            <v>411.45835589804386</v>
          </cell>
          <cell r="L162">
            <v>1198.1642961317364</v>
          </cell>
          <cell r="M162">
            <v>965.7444860544523</v>
          </cell>
          <cell r="N162">
            <v>2209.2664</v>
          </cell>
          <cell r="O162">
            <v>701.54314885879876</v>
          </cell>
          <cell r="P162">
            <v>1022.4709033661846</v>
          </cell>
          <cell r="Q162">
            <v>368.15494071229051</v>
          </cell>
          <cell r="R162">
            <v>2303.0368015366998</v>
          </cell>
          <cell r="S162">
            <v>683.34348186157513</v>
          </cell>
          <cell r="T162">
            <v>216.41805462829203</v>
          </cell>
          <cell r="U162">
            <v>80.275754511627909</v>
          </cell>
          <cell r="X162">
            <v>56.079676508694178</v>
          </cell>
          <cell r="Z162">
            <v>50.873800000000003</v>
          </cell>
          <cell r="AE162">
            <v>84.955399999999997</v>
          </cell>
          <cell r="AH162">
            <v>31.049399999999999</v>
          </cell>
          <cell r="AI162">
            <v>26.742000000000001</v>
          </cell>
          <cell r="AK162">
            <v>249.02090000000001</v>
          </cell>
          <cell r="DO162">
            <v>162</v>
          </cell>
        </row>
        <row r="163">
          <cell r="A163" t="str">
            <v>Huntsville, AL Metro Area</v>
          </cell>
          <cell r="B163">
            <v>1802.4981999999998</v>
          </cell>
          <cell r="C163">
            <v>2638.733454716481</v>
          </cell>
          <cell r="D163">
            <v>2470.3605506076992</v>
          </cell>
          <cell r="E163">
            <v>2702.5071768564976</v>
          </cell>
          <cell r="F163">
            <v>1249.2152277919531</v>
          </cell>
          <cell r="G163">
            <v>1135.0610631800421</v>
          </cell>
          <cell r="H163">
            <v>1063.7331242964251</v>
          </cell>
          <cell r="I163">
            <v>927.39396905460956</v>
          </cell>
          <cell r="J163">
            <v>1701.6320356352751</v>
          </cell>
          <cell r="K163">
            <v>813.10806998396447</v>
          </cell>
          <cell r="L163">
            <v>1468.4081887391058</v>
          </cell>
          <cell r="M163">
            <v>886.58186348827974</v>
          </cell>
          <cell r="N163">
            <v>85.033271658559983</v>
          </cell>
          <cell r="O163">
            <v>106.09</v>
          </cell>
          <cell r="P163">
            <v>239.3323</v>
          </cell>
          <cell r="Q163">
            <v>280.41844258487197</v>
          </cell>
          <cell r="R163">
            <v>159.83344349797414</v>
          </cell>
          <cell r="T163">
            <v>133.72929999999999</v>
          </cell>
          <cell r="W163">
            <v>375.88150006593042</v>
          </cell>
          <cell r="X163">
            <v>389.66024449739552</v>
          </cell>
          <cell r="Y163">
            <v>1241.2892069114471</v>
          </cell>
          <cell r="Z163">
            <v>241.17420000000001</v>
          </cell>
          <cell r="AA163">
            <v>74.924800000000005</v>
          </cell>
          <cell r="AB163">
            <v>200.62880000000001</v>
          </cell>
          <cell r="AG163">
            <v>99.145600000000002</v>
          </cell>
          <cell r="AJ163">
            <v>38.636800000000001</v>
          </cell>
          <cell r="DO163">
            <v>163</v>
          </cell>
        </row>
        <row r="164">
          <cell r="A164" t="str">
            <v>Idaho Falls, ID Metro Area</v>
          </cell>
          <cell r="B164">
            <v>3557.3665741176474</v>
          </cell>
          <cell r="C164">
            <v>2774.0361056380016</v>
          </cell>
          <cell r="D164">
            <v>2420.0010263369263</v>
          </cell>
          <cell r="E164">
            <v>286.1995</v>
          </cell>
          <cell r="F164">
            <v>1910.2478404187495</v>
          </cell>
          <cell r="G164">
            <v>171.13685540720962</v>
          </cell>
          <cell r="J164">
            <v>121.7777</v>
          </cell>
          <cell r="M164">
            <v>3.5912999999999999</v>
          </cell>
          <cell r="O164">
            <v>377.94839999999999</v>
          </cell>
          <cell r="P164">
            <v>150.12555010660981</v>
          </cell>
          <cell r="AA164">
            <v>4.1741000000000001</v>
          </cell>
          <cell r="DO164">
            <v>164</v>
          </cell>
        </row>
        <row r="165">
          <cell r="A165" t="str">
            <v>Indianapolis-Carmel, IN Metro Area</v>
          </cell>
          <cell r="B165">
            <v>4840.1208610470912</v>
          </cell>
          <cell r="C165">
            <v>5279.9045204635568</v>
          </cell>
          <cell r="D165">
            <v>4000.979411993093</v>
          </cell>
          <cell r="E165">
            <v>3995.6864166374153</v>
          </cell>
          <cell r="F165">
            <v>3949.7404023988547</v>
          </cell>
          <cell r="G165">
            <v>3598.2850311411025</v>
          </cell>
          <cell r="H165">
            <v>3005.2643348372562</v>
          </cell>
          <cell r="I165">
            <v>3033.1922343552615</v>
          </cell>
          <cell r="J165">
            <v>3184.3456254672178</v>
          </cell>
          <cell r="K165">
            <v>2946.6405248089236</v>
          </cell>
          <cell r="L165">
            <v>2505.5315787822337</v>
          </cell>
          <cell r="M165">
            <v>1479.6213677909079</v>
          </cell>
          <cell r="N165">
            <v>1761.322806953081</v>
          </cell>
          <cell r="O165">
            <v>1261.5668966304381</v>
          </cell>
          <cell r="P165">
            <v>1417.1593477766762</v>
          </cell>
          <cell r="Q165">
            <v>1606.259328522427</v>
          </cell>
          <cell r="R165">
            <v>2682.4310980840141</v>
          </cell>
          <cell r="S165">
            <v>1534.5569664929458</v>
          </cell>
          <cell r="T165">
            <v>525.5577904821813</v>
          </cell>
          <cell r="U165">
            <v>1202.9668429893475</v>
          </cell>
          <cell r="V165">
            <v>567.98076236680595</v>
          </cell>
          <cell r="W165">
            <v>1795.6812032195696</v>
          </cell>
          <cell r="X165">
            <v>361.07811553443082</v>
          </cell>
          <cell r="Y165">
            <v>430.639954154024</v>
          </cell>
          <cell r="Z165">
            <v>48.100873502836727</v>
          </cell>
          <cell r="AA165">
            <v>670.38976309148268</v>
          </cell>
          <cell r="AB165">
            <v>1749.7207964455263</v>
          </cell>
          <cell r="AC165">
            <v>1937.1276030011184</v>
          </cell>
          <cell r="AD165">
            <v>68.698849298519093</v>
          </cell>
          <cell r="AE165">
            <v>106.1801</v>
          </cell>
          <cell r="AF165">
            <v>1118.892568103219</v>
          </cell>
          <cell r="AG165">
            <v>77.019821099849324</v>
          </cell>
          <cell r="AI165">
            <v>56.004866229184309</v>
          </cell>
          <cell r="AL165">
            <v>51.257571922973334</v>
          </cell>
          <cell r="AM165">
            <v>303.23782960965008</v>
          </cell>
          <cell r="AN165">
            <v>336.6361</v>
          </cell>
          <cell r="AQ165">
            <v>30.1343</v>
          </cell>
          <cell r="AR165">
            <v>54.233231990220943</v>
          </cell>
          <cell r="DO165">
            <v>165</v>
          </cell>
        </row>
        <row r="166">
          <cell r="A166" t="str">
            <v>Iowa City, IA Metro Area</v>
          </cell>
          <cell r="B166">
            <v>11156.959956257293</v>
          </cell>
          <cell r="C166">
            <v>3204.7463785632117</v>
          </cell>
          <cell r="D166">
            <v>1684.9722774225722</v>
          </cell>
          <cell r="E166">
            <v>4257.4475000000002</v>
          </cell>
          <cell r="F166">
            <v>1188.0130999999999</v>
          </cell>
          <cell r="G166">
            <v>59.764099999999999</v>
          </cell>
          <cell r="H166">
            <v>719.58180000000004</v>
          </cell>
          <cell r="I166">
            <v>39.297899999999998</v>
          </cell>
          <cell r="J166">
            <v>103.22370293029537</v>
          </cell>
          <cell r="O166">
            <v>78.338899999999995</v>
          </cell>
          <cell r="P166">
            <v>66.409499999999994</v>
          </cell>
          <cell r="AA166">
            <v>247.39176881851398</v>
          </cell>
          <cell r="AB166">
            <v>356.60048857142851</v>
          </cell>
          <cell r="DO166">
            <v>166</v>
          </cell>
        </row>
        <row r="167">
          <cell r="A167" t="str">
            <v>Ithaca, NY Metro Area</v>
          </cell>
          <cell r="B167">
            <v>14666.029895088153</v>
          </cell>
          <cell r="C167">
            <v>1906.6683671696508</v>
          </cell>
          <cell r="D167">
            <v>1384.4523528844738</v>
          </cell>
          <cell r="F167">
            <v>337.39859999999999</v>
          </cell>
          <cell r="G167">
            <v>172.36750000000001</v>
          </cell>
          <cell r="H167">
            <v>74.5700144933042</v>
          </cell>
          <cell r="I167">
            <v>78.9238</v>
          </cell>
          <cell r="K167">
            <v>123.65041033758227</v>
          </cell>
          <cell r="L167">
            <v>219.0839</v>
          </cell>
          <cell r="N167">
            <v>148.42259999999999</v>
          </cell>
          <cell r="DO167">
            <v>167</v>
          </cell>
        </row>
        <row r="168">
          <cell r="A168" t="str">
            <v>Jackson, MI Metro Area</v>
          </cell>
          <cell r="B168">
            <v>5306.4737077860491</v>
          </cell>
          <cell r="C168">
            <v>2333.7796818293014</v>
          </cell>
          <cell r="D168">
            <v>1278.7633707748312</v>
          </cell>
          <cell r="E168">
            <v>3867.2253490791641</v>
          </cell>
          <cell r="F168">
            <v>419.60255549308442</v>
          </cell>
          <cell r="H168">
            <v>350.07580000000007</v>
          </cell>
          <cell r="I168">
            <v>234.08050000000003</v>
          </cell>
          <cell r="J168">
            <v>127.88019999999999</v>
          </cell>
          <cell r="K168">
            <v>97.402830152883951</v>
          </cell>
          <cell r="L168">
            <v>154.28362320571364</v>
          </cell>
          <cell r="M168">
            <v>75.590199999999996</v>
          </cell>
          <cell r="N168">
            <v>129.73892839774206</v>
          </cell>
          <cell r="O168">
            <v>63.302898657208011</v>
          </cell>
          <cell r="P168">
            <v>113.39479999999999</v>
          </cell>
          <cell r="DO168">
            <v>168</v>
          </cell>
        </row>
        <row r="169">
          <cell r="A169" t="str">
            <v>Jackson, MS Metro Area</v>
          </cell>
          <cell r="B169">
            <v>363.81099999999998</v>
          </cell>
          <cell r="C169">
            <v>3631.5879875684473</v>
          </cell>
          <cell r="D169">
            <v>2618.6812218781588</v>
          </cell>
          <cell r="E169">
            <v>2889.5190253267974</v>
          </cell>
          <cell r="F169">
            <v>2802.0640657183881</v>
          </cell>
          <cell r="G169">
            <v>1838.1423799925637</v>
          </cell>
          <cell r="H169">
            <v>829.0840500806089</v>
          </cell>
          <cell r="I169">
            <v>1601.8813377767365</v>
          </cell>
          <cell r="J169">
            <v>1574.1444164790776</v>
          </cell>
          <cell r="K169">
            <v>1462.2141539618394</v>
          </cell>
          <cell r="L169">
            <v>882.47764830760843</v>
          </cell>
          <cell r="M169">
            <v>811.61630000000002</v>
          </cell>
          <cell r="N169">
            <v>573.28138563119728</v>
          </cell>
          <cell r="O169">
            <v>258.02873860647446</v>
          </cell>
          <cell r="P169">
            <v>209.09294489362571</v>
          </cell>
          <cell r="Q169">
            <v>126.71129999999999</v>
          </cell>
          <cell r="S169">
            <v>52.218800000000002</v>
          </cell>
          <cell r="T169">
            <v>82.34</v>
          </cell>
          <cell r="U169">
            <v>34.8292</v>
          </cell>
          <cell r="W169">
            <v>38.147500000000001</v>
          </cell>
          <cell r="X169">
            <v>30.724562531645567</v>
          </cell>
          <cell r="Y169">
            <v>918.31444831197518</v>
          </cell>
          <cell r="Z169">
            <v>275.69400484275968</v>
          </cell>
          <cell r="AC169">
            <v>29.6616</v>
          </cell>
          <cell r="AD169">
            <v>25.003874791086353</v>
          </cell>
          <cell r="AE169">
            <v>165.94069999999999</v>
          </cell>
          <cell r="AH169">
            <v>660.75879999999995</v>
          </cell>
          <cell r="AJ169">
            <v>39.732300000000002</v>
          </cell>
          <cell r="AM169">
            <v>28.810941524553112</v>
          </cell>
          <cell r="AN169">
            <v>36.191600000000001</v>
          </cell>
          <cell r="AO169">
            <v>361.52955139500739</v>
          </cell>
          <cell r="DO169">
            <v>169</v>
          </cell>
        </row>
        <row r="170">
          <cell r="A170" t="str">
            <v>Jackson, TN Metro Area</v>
          </cell>
          <cell r="B170">
            <v>1968.6912130751173</v>
          </cell>
          <cell r="C170">
            <v>2303.4022267030496</v>
          </cell>
          <cell r="E170">
            <v>760.95825917986963</v>
          </cell>
          <cell r="F170">
            <v>1066.7674394536457</v>
          </cell>
          <cell r="H170">
            <v>913.64585169723171</v>
          </cell>
          <cell r="I170">
            <v>532.30610000000001</v>
          </cell>
          <cell r="J170">
            <v>58.737411150353182</v>
          </cell>
          <cell r="K170">
            <v>47.683407403351225</v>
          </cell>
          <cell r="L170">
            <v>18.032299999999999</v>
          </cell>
          <cell r="M170">
            <v>137.65360000000001</v>
          </cell>
          <cell r="Q170">
            <v>828.59689999999989</v>
          </cell>
          <cell r="R170">
            <v>43.693300000000001</v>
          </cell>
          <cell r="U170">
            <v>39.9709</v>
          </cell>
          <cell r="DO170">
            <v>170</v>
          </cell>
        </row>
        <row r="171">
          <cell r="A171" t="str">
            <v>Jacksonville, FL Metro Area</v>
          </cell>
          <cell r="B171">
            <v>9239.6228029832946</v>
          </cell>
          <cell r="C171">
            <v>3896.5508574532701</v>
          </cell>
          <cell r="D171">
            <v>3835.1591431841457</v>
          </cell>
          <cell r="E171">
            <v>3417.189401551519</v>
          </cell>
          <cell r="F171">
            <v>3301.8508440189362</v>
          </cell>
          <cell r="G171">
            <v>3551.258875419579</v>
          </cell>
          <cell r="H171">
            <v>2657.7741114085898</v>
          </cell>
          <cell r="I171">
            <v>2662.3933616113841</v>
          </cell>
          <cell r="J171">
            <v>2218.5176596702081</v>
          </cell>
          <cell r="K171">
            <v>2442.6272123943477</v>
          </cell>
          <cell r="L171">
            <v>2704.9504275637855</v>
          </cell>
          <cell r="M171">
            <v>2462.5657888898954</v>
          </cell>
          <cell r="N171">
            <v>1795.7151195387069</v>
          </cell>
          <cell r="O171">
            <v>2570.2814564658702</v>
          </cell>
          <cell r="P171">
            <v>1593.9408816433597</v>
          </cell>
          <cell r="Q171">
            <v>2290.3552358222951</v>
          </cell>
          <cell r="R171">
            <v>2143.1566432075888</v>
          </cell>
          <cell r="S171">
            <v>893.81384859171976</v>
          </cell>
          <cell r="T171">
            <v>1007.6498011936549</v>
          </cell>
          <cell r="U171">
            <v>797.71510869497229</v>
          </cell>
          <cell r="V171">
            <v>561.97608538289728</v>
          </cell>
          <cell r="W171">
            <v>224.96262596269833</v>
          </cell>
          <cell r="X171">
            <v>300.22833992703687</v>
          </cell>
          <cell r="Y171">
            <v>2007.0750000000003</v>
          </cell>
          <cell r="Z171">
            <v>454.4746768973186</v>
          </cell>
          <cell r="AA171">
            <v>792.80055811961506</v>
          </cell>
          <cell r="AC171">
            <v>599.1816</v>
          </cell>
          <cell r="AD171">
            <v>164.89873873175645</v>
          </cell>
          <cell r="AE171">
            <v>75.414999999999992</v>
          </cell>
          <cell r="AF171">
            <v>47.319019243754219</v>
          </cell>
          <cell r="AG171">
            <v>159.03338576820605</v>
          </cell>
          <cell r="AH171">
            <v>3.2618999999999994</v>
          </cell>
          <cell r="AK171">
            <v>1148.0696707434879</v>
          </cell>
          <cell r="AL171">
            <v>1854.7040743990735</v>
          </cell>
          <cell r="AM171">
            <v>743.69765580222906</v>
          </cell>
          <cell r="AN171">
            <v>1004.1427</v>
          </cell>
          <cell r="AO171">
            <v>1767.0223295287958</v>
          </cell>
          <cell r="AP171">
            <v>1343.0333604387829</v>
          </cell>
          <cell r="AQ171">
            <v>473.71921175582503</v>
          </cell>
          <cell r="AR171">
            <v>304.3152</v>
          </cell>
          <cell r="AS171">
            <v>1939.9634791202106</v>
          </cell>
          <cell r="AT171">
            <v>450.63900000000001</v>
          </cell>
          <cell r="AV171">
            <v>58.843800000000002</v>
          </cell>
          <cell r="AW171">
            <v>173.97739999999999</v>
          </cell>
          <cell r="AX171">
            <v>28.9375</v>
          </cell>
          <cell r="DO171">
            <v>171</v>
          </cell>
        </row>
        <row r="172">
          <cell r="A172" t="str">
            <v>Jacksonville, NC Metro Area</v>
          </cell>
          <cell r="B172">
            <v>1873.9302</v>
          </cell>
          <cell r="C172">
            <v>2657.4503180872348</v>
          </cell>
          <cell r="D172">
            <v>2122.2856955873672</v>
          </cell>
          <cell r="E172">
            <v>1303.397497142465</v>
          </cell>
          <cell r="F172">
            <v>738.71753191135213</v>
          </cell>
          <cell r="G172">
            <v>1029.6299896538994</v>
          </cell>
          <cell r="I172">
            <v>860.17616467931339</v>
          </cell>
          <cell r="J172">
            <v>320.3777</v>
          </cell>
          <cell r="K172">
            <v>195.55698815197104</v>
          </cell>
          <cell r="L172">
            <v>37.151000000000003</v>
          </cell>
          <cell r="M172">
            <v>12.420199999999999</v>
          </cell>
          <cell r="O172">
            <v>304.88355255204482</v>
          </cell>
          <cell r="P172">
            <v>374.13529999999997</v>
          </cell>
          <cell r="Q172">
            <v>300.36520000000002</v>
          </cell>
          <cell r="R172">
            <v>56.585500000000003</v>
          </cell>
          <cell r="T172">
            <v>150.20439999999999</v>
          </cell>
          <cell r="DO172">
            <v>172</v>
          </cell>
        </row>
        <row r="173">
          <cell r="A173" t="str">
            <v>Janesville, WI Metro Area</v>
          </cell>
          <cell r="B173">
            <v>3916.6890236126546</v>
          </cell>
          <cell r="C173">
            <v>2915.2219532984614</v>
          </cell>
          <cell r="D173">
            <v>1293.164386832965</v>
          </cell>
          <cell r="E173">
            <v>913.60490752394003</v>
          </cell>
          <cell r="F173">
            <v>264.33940000000001</v>
          </cell>
          <cell r="J173">
            <v>458.02043235532358</v>
          </cell>
          <cell r="K173">
            <v>90.174599999999998</v>
          </cell>
          <cell r="L173">
            <v>1019.8272723713409</v>
          </cell>
          <cell r="M173">
            <v>3348.6580110264999</v>
          </cell>
          <cell r="N173">
            <v>5151.5198107178676</v>
          </cell>
          <cell r="O173">
            <v>31.078199999999995</v>
          </cell>
          <cell r="Q173">
            <v>113.3631</v>
          </cell>
          <cell r="DO173">
            <v>173</v>
          </cell>
        </row>
        <row r="174">
          <cell r="A174" t="str">
            <v>Jefferson City, MO Metro Area</v>
          </cell>
          <cell r="B174">
            <v>2581.7069445986126</v>
          </cell>
          <cell r="C174">
            <v>2341.7561999999998</v>
          </cell>
          <cell r="D174">
            <v>984.32405280805426</v>
          </cell>
          <cell r="F174">
            <v>563.83630000000005</v>
          </cell>
          <cell r="G174">
            <v>566.69372781264008</v>
          </cell>
          <cell r="H174">
            <v>190.15669131611932</v>
          </cell>
          <cell r="J174">
            <v>60.905999999999999</v>
          </cell>
          <cell r="L174">
            <v>62.837400000000002</v>
          </cell>
          <cell r="O174">
            <v>42.464707811511701</v>
          </cell>
          <cell r="P174">
            <v>31.255121501706483</v>
          </cell>
          <cell r="Q174">
            <v>19.189699999999998</v>
          </cell>
          <cell r="U174">
            <v>21.370799999999999</v>
          </cell>
          <cell r="V174">
            <v>34.848199999999999</v>
          </cell>
          <cell r="W174">
            <v>368.15533688303276</v>
          </cell>
          <cell r="X174">
            <v>772.62699999999995</v>
          </cell>
          <cell r="Y174">
            <v>604.30089999999996</v>
          </cell>
          <cell r="Z174">
            <v>18.769808550434202</v>
          </cell>
          <cell r="AB174">
            <v>16.426400000000001</v>
          </cell>
          <cell r="AH174">
            <v>23.086300000000001</v>
          </cell>
          <cell r="AI174">
            <v>74.526600000000016</v>
          </cell>
          <cell r="DO174">
            <v>174</v>
          </cell>
        </row>
        <row r="175">
          <cell r="A175" t="str">
            <v>Johnson City, TN Metro Area</v>
          </cell>
          <cell r="B175">
            <v>2928.8987081931905</v>
          </cell>
          <cell r="C175">
            <v>3243.0964551102425</v>
          </cell>
          <cell r="D175">
            <v>1155.5310984677542</v>
          </cell>
          <cell r="E175">
            <v>699.26270469637666</v>
          </cell>
          <cell r="F175">
            <v>856.51873776247839</v>
          </cell>
          <cell r="G175">
            <v>564.2704586176103</v>
          </cell>
          <cell r="H175">
            <v>849.82405307709155</v>
          </cell>
          <cell r="I175">
            <v>575.87238285492936</v>
          </cell>
          <cell r="J175">
            <v>1213.5334</v>
          </cell>
          <cell r="K175">
            <v>283.22680042304194</v>
          </cell>
          <cell r="M175">
            <v>48.744399999999999</v>
          </cell>
          <cell r="N175">
            <v>1028.7576048634241</v>
          </cell>
          <cell r="O175">
            <v>166.55352021160161</v>
          </cell>
          <cell r="P175">
            <v>102.874</v>
          </cell>
          <cell r="Q175">
            <v>128.3083</v>
          </cell>
          <cell r="T175">
            <v>63.717372150751942</v>
          </cell>
          <cell r="V175">
            <v>26.883700000000005</v>
          </cell>
          <cell r="DO175">
            <v>175</v>
          </cell>
        </row>
        <row r="176">
          <cell r="A176" t="str">
            <v>Johnstown, PA Metro Area</v>
          </cell>
          <cell r="B176">
            <v>2635.1230442389456</v>
          </cell>
          <cell r="C176">
            <v>3374.9066033162667</v>
          </cell>
          <cell r="D176">
            <v>2430.3192426976657</v>
          </cell>
          <cell r="E176">
            <v>995.67108388682061</v>
          </cell>
          <cell r="F176">
            <v>747.75378493894175</v>
          </cell>
          <cell r="G176">
            <v>778.24860000000001</v>
          </cell>
          <cell r="I176">
            <v>91.613399999999999</v>
          </cell>
          <cell r="J176">
            <v>159.26560218941449</v>
          </cell>
          <cell r="M176">
            <v>789.58123966089204</v>
          </cell>
          <cell r="N176">
            <v>76.757099999999994</v>
          </cell>
          <cell r="O176">
            <v>4008.3072999999995</v>
          </cell>
          <cell r="P176">
            <v>131.56334624704795</v>
          </cell>
          <cell r="Q176">
            <v>2004.8698999999999</v>
          </cell>
          <cell r="S176">
            <v>98.490799999999993</v>
          </cell>
          <cell r="U176">
            <v>525.02750000000003</v>
          </cell>
          <cell r="V176">
            <v>140.96770000000001</v>
          </cell>
          <cell r="W176">
            <v>104.6221</v>
          </cell>
          <cell r="Y176">
            <v>83.08236113917657</v>
          </cell>
          <cell r="Z176">
            <v>1289.8842</v>
          </cell>
          <cell r="AB176">
            <v>81.070599999999999</v>
          </cell>
          <cell r="AJ176">
            <v>41.643599999999999</v>
          </cell>
          <cell r="DO176">
            <v>176</v>
          </cell>
        </row>
        <row r="177">
          <cell r="A177" t="str">
            <v>Jonesboro, AR Metro Area</v>
          </cell>
          <cell r="B177">
            <v>2858.8725094465035</v>
          </cell>
          <cell r="C177">
            <v>2847.7801620397122</v>
          </cell>
          <cell r="D177">
            <v>334.62773620469721</v>
          </cell>
          <cell r="E177">
            <v>779.56431378699142</v>
          </cell>
          <cell r="F177">
            <v>320.71737067799552</v>
          </cell>
          <cell r="H177">
            <v>24.0505</v>
          </cell>
          <cell r="J177">
            <v>64.641900000000007</v>
          </cell>
          <cell r="M177">
            <v>62.969700000000003</v>
          </cell>
          <cell r="Q177">
            <v>764.90350000000001</v>
          </cell>
          <cell r="R177">
            <v>353.86579999999998</v>
          </cell>
          <cell r="T177">
            <v>34.66442111380146</v>
          </cell>
          <cell r="V177">
            <v>28.439800000000002</v>
          </cell>
          <cell r="W177">
            <v>7.0119999999999987</v>
          </cell>
          <cell r="AB177">
            <v>285.80540000000002</v>
          </cell>
          <cell r="AC177">
            <v>28.123699999999999</v>
          </cell>
          <cell r="DO177">
            <v>177</v>
          </cell>
        </row>
        <row r="178">
          <cell r="A178" t="str">
            <v>Joplin, MO Metro Area</v>
          </cell>
          <cell r="B178">
            <v>3421.9387999999999</v>
          </cell>
          <cell r="C178">
            <v>2959.0296146358987</v>
          </cell>
          <cell r="D178">
            <v>905.81463243735766</v>
          </cell>
          <cell r="E178">
            <v>584.70239121815052</v>
          </cell>
          <cell r="G178">
            <v>660.34234104362463</v>
          </cell>
          <cell r="H178">
            <v>114.56540000000001</v>
          </cell>
          <cell r="I178">
            <v>284.90835560011664</v>
          </cell>
          <cell r="L178">
            <v>83.094999999999999</v>
          </cell>
          <cell r="M178">
            <v>843.84469999999999</v>
          </cell>
          <cell r="N178">
            <v>612.63164189844758</v>
          </cell>
          <cell r="O178">
            <v>44.2547</v>
          </cell>
          <cell r="R178">
            <v>348.8716</v>
          </cell>
          <cell r="S178">
            <v>798.49615378929298</v>
          </cell>
          <cell r="T178">
            <v>68.041559353785345</v>
          </cell>
          <cell r="U178">
            <v>54.353308212095712</v>
          </cell>
          <cell r="AB178">
            <v>26.620000000000005</v>
          </cell>
          <cell r="DO178">
            <v>178</v>
          </cell>
        </row>
        <row r="179">
          <cell r="A179" t="str">
            <v>Kalamazoo-Portage, MI Metro Area</v>
          </cell>
          <cell r="B179">
            <v>5479.5751899259967</v>
          </cell>
          <cell r="C179">
            <v>4410.4990814564953</v>
          </cell>
          <cell r="D179">
            <v>3150.7847421045908</v>
          </cell>
          <cell r="E179">
            <v>1271.8954934578032</v>
          </cell>
          <cell r="F179">
            <v>1569.0480623961337</v>
          </cell>
          <cell r="G179">
            <v>1305.8149795215434</v>
          </cell>
          <cell r="H179">
            <v>606.34630000000004</v>
          </cell>
          <cell r="I179">
            <v>545.02592207353564</v>
          </cell>
          <cell r="J179">
            <v>418.59403685621947</v>
          </cell>
          <cell r="L179">
            <v>77.933000000000007</v>
          </cell>
          <cell r="M179">
            <v>259.8780570124178</v>
          </cell>
          <cell r="N179">
            <v>265.89428481855271</v>
          </cell>
          <cell r="O179">
            <v>90.824174447391684</v>
          </cell>
          <cell r="P179">
            <v>235.83145400915768</v>
          </cell>
          <cell r="R179">
            <v>99.160700000000006</v>
          </cell>
          <cell r="S179">
            <v>200.75479999999999</v>
          </cell>
          <cell r="V179">
            <v>91.020799999999994</v>
          </cell>
          <cell r="AB179">
            <v>87.356328284144865</v>
          </cell>
          <cell r="AD179">
            <v>89.221699999999998</v>
          </cell>
          <cell r="AF179">
            <v>180.65397435399731</v>
          </cell>
          <cell r="AJ179">
            <v>202.72239999999999</v>
          </cell>
          <cell r="AK179">
            <v>937.44542137966675</v>
          </cell>
          <cell r="DO179">
            <v>179</v>
          </cell>
        </row>
        <row r="180">
          <cell r="A180" t="str">
            <v>Kankakee-Bradley, IL Metro Area</v>
          </cell>
          <cell r="B180">
            <v>5155.5948080670096</v>
          </cell>
          <cell r="C180">
            <v>2156.8951678454937</v>
          </cell>
          <cell r="D180">
            <v>2159.1923166151651</v>
          </cell>
          <cell r="E180">
            <v>748.47863447457382</v>
          </cell>
          <cell r="F180">
            <v>747.38550148056754</v>
          </cell>
          <cell r="G180">
            <v>73.475099999999998</v>
          </cell>
          <cell r="I180">
            <v>49.961399999999998</v>
          </cell>
          <cell r="K180">
            <v>275.29914517860141</v>
          </cell>
          <cell r="O180">
            <v>53.965821188268279</v>
          </cell>
          <cell r="P180">
            <v>31.5885</v>
          </cell>
          <cell r="DO180">
            <v>180</v>
          </cell>
        </row>
        <row r="181">
          <cell r="A181" t="str">
            <v>Kansas City, MO-KS Metro Area</v>
          </cell>
          <cell r="B181">
            <v>4326.5036140418706</v>
          </cell>
          <cell r="C181">
            <v>4101.7262776561929</v>
          </cell>
          <cell r="D181">
            <v>5810.4217849465022</v>
          </cell>
          <cell r="E181">
            <v>5162.9752363009156</v>
          </cell>
          <cell r="F181">
            <v>3970.4946085479801</v>
          </cell>
          <cell r="G181">
            <v>3093.6165132696019</v>
          </cell>
          <cell r="H181">
            <v>2980.9364142948798</v>
          </cell>
          <cell r="I181">
            <v>2870.5505435227656</v>
          </cell>
          <cell r="J181">
            <v>3031.5674410784864</v>
          </cell>
          <cell r="K181">
            <v>2348.4306535102291</v>
          </cell>
          <cell r="L181">
            <v>2988.3324612664742</v>
          </cell>
          <cell r="M181">
            <v>2315.0307254938671</v>
          </cell>
          <cell r="N181">
            <v>2253.8755153533211</v>
          </cell>
          <cell r="O181">
            <v>2377.2453347627743</v>
          </cell>
          <cell r="P181">
            <v>1875.5085126398792</v>
          </cell>
          <cell r="Q181">
            <v>2598.6483757274495</v>
          </cell>
          <cell r="R181">
            <v>2550.0680022747706</v>
          </cell>
          <cell r="S181">
            <v>2537.8193146070844</v>
          </cell>
          <cell r="T181">
            <v>2127.3246183915689</v>
          </cell>
          <cell r="U181">
            <v>2265.1485554349192</v>
          </cell>
          <cell r="V181">
            <v>1423.3218246072597</v>
          </cell>
          <cell r="W181">
            <v>664.85458209271633</v>
          </cell>
          <cell r="X181">
            <v>236.63688171626296</v>
          </cell>
          <cell r="Y181">
            <v>1267.7278484820933</v>
          </cell>
          <cell r="Z181">
            <v>1316.1898996353545</v>
          </cell>
          <cell r="AA181">
            <v>519.77896059318869</v>
          </cell>
          <cell r="AB181">
            <v>1122.4471170655568</v>
          </cell>
          <cell r="AC181">
            <v>1293.5860026168223</v>
          </cell>
          <cell r="AD181">
            <v>96.819216921756535</v>
          </cell>
          <cell r="AE181">
            <v>54.902499930576219</v>
          </cell>
          <cell r="AF181">
            <v>69.749300000000005</v>
          </cell>
          <cell r="AG181">
            <v>54.522187008325062</v>
          </cell>
          <cell r="AH181">
            <v>187.83145605322619</v>
          </cell>
          <cell r="AI181">
            <v>930.74611545842231</v>
          </cell>
          <cell r="AJ181">
            <v>206.22984534077526</v>
          </cell>
          <cell r="AK181">
            <v>63.738199999999999</v>
          </cell>
          <cell r="AL181">
            <v>31.154900000000001</v>
          </cell>
          <cell r="AO181">
            <v>364.10155357106572</v>
          </cell>
          <cell r="AP181">
            <v>43.971229647591336</v>
          </cell>
          <cell r="AQ181">
            <v>32.174900000000001</v>
          </cell>
          <cell r="AS181">
            <v>21.036799999999999</v>
          </cell>
          <cell r="AT181">
            <v>31.904699999999998</v>
          </cell>
          <cell r="AV181">
            <v>115.3754</v>
          </cell>
          <cell r="AW181">
            <v>205.59636576032224</v>
          </cell>
          <cell r="AX181">
            <v>29.808700000000002</v>
          </cell>
          <cell r="AY181">
            <v>207.11880000000002</v>
          </cell>
          <cell r="AZ181">
            <v>1100.9898000000001</v>
          </cell>
          <cell r="BA181">
            <v>309.09287337481226</v>
          </cell>
          <cell r="BB181">
            <v>18.932500000000001</v>
          </cell>
          <cell r="BC181">
            <v>18.576499999999999</v>
          </cell>
          <cell r="BD181">
            <v>14.073</v>
          </cell>
          <cell r="BE181">
            <v>15.907820291120817</v>
          </cell>
          <cell r="BF181">
            <v>12.9061</v>
          </cell>
          <cell r="BI181">
            <v>393.90589999999997</v>
          </cell>
          <cell r="BQ181">
            <v>16.972999999999999</v>
          </cell>
          <cell r="BS181">
            <v>13.915700000000001</v>
          </cell>
          <cell r="DO181">
            <v>181</v>
          </cell>
        </row>
        <row r="182">
          <cell r="A182" t="str">
            <v>Kennewick-Pasco-Richland, WA Metro Area</v>
          </cell>
          <cell r="B182">
            <v>5984.6564444489077</v>
          </cell>
          <cell r="C182">
            <v>2915.789273588563</v>
          </cell>
          <cell r="D182">
            <v>3387.3582325452053</v>
          </cell>
          <cell r="E182">
            <v>2073.4244548476254</v>
          </cell>
          <cell r="F182">
            <v>1171.4376</v>
          </cell>
          <cell r="G182">
            <v>2708.0995155933369</v>
          </cell>
          <cell r="H182">
            <v>2244.2486187094182</v>
          </cell>
          <cell r="I182">
            <v>1402.7782</v>
          </cell>
          <cell r="J182">
            <v>1228.9746653272753</v>
          </cell>
          <cell r="K182">
            <v>3360.0322716650844</v>
          </cell>
          <cell r="L182">
            <v>1646.4620314958568</v>
          </cell>
          <cell r="M182">
            <v>1133.4612360870021</v>
          </cell>
          <cell r="N182">
            <v>950.15955317379837</v>
          </cell>
          <cell r="O182">
            <v>28.746099999999998</v>
          </cell>
          <cell r="P182">
            <v>147.91309999999999</v>
          </cell>
          <cell r="R182">
            <v>150.36949999999999</v>
          </cell>
          <cell r="U182">
            <v>73.785184709141276</v>
          </cell>
          <cell r="W182">
            <v>1.14E-2</v>
          </cell>
          <cell r="Y182">
            <v>1.5585</v>
          </cell>
          <cell r="AF182">
            <v>19.338699999999999</v>
          </cell>
          <cell r="AG182">
            <v>249.9248111111111</v>
          </cell>
          <cell r="DO182">
            <v>182</v>
          </cell>
        </row>
        <row r="183">
          <cell r="A183" t="str">
            <v>Killeen-Temple-Fort Hood, TX Metro Area</v>
          </cell>
          <cell r="B183">
            <v>4616.5701097243073</v>
          </cell>
          <cell r="C183">
            <v>3410.0460147761196</v>
          </cell>
          <cell r="D183">
            <v>3759.013758145994</v>
          </cell>
          <cell r="E183">
            <v>3139.8916162200535</v>
          </cell>
          <cell r="F183">
            <v>2726.4860650141877</v>
          </cell>
          <cell r="G183">
            <v>2353.2071415328046</v>
          </cell>
          <cell r="H183">
            <v>774.00989277496274</v>
          </cell>
          <cell r="I183">
            <v>14.198399999999999</v>
          </cell>
          <cell r="J183">
            <v>71.0745</v>
          </cell>
          <cell r="K183">
            <v>1646.5962117691918</v>
          </cell>
          <cell r="L183">
            <v>2159.9654058779483</v>
          </cell>
          <cell r="M183">
            <v>1707.2312406670253</v>
          </cell>
          <cell r="N183">
            <v>166.86670000000001</v>
          </cell>
          <cell r="O183">
            <v>139.23618726986626</v>
          </cell>
          <cell r="Q183">
            <v>838.4381883414452</v>
          </cell>
          <cell r="R183">
            <v>583.13904633420702</v>
          </cell>
          <cell r="S183">
            <v>88.170776248538516</v>
          </cell>
          <cell r="T183">
            <v>226.43040359400712</v>
          </cell>
          <cell r="V183">
            <v>1466.2415042778712</v>
          </cell>
          <cell r="W183">
            <v>2751.2590886979388</v>
          </cell>
          <cell r="X183">
            <v>1133.7153866758879</v>
          </cell>
          <cell r="Y183">
            <v>1145.5064582168729</v>
          </cell>
          <cell r="Z183">
            <v>1221.6966654021744</v>
          </cell>
          <cell r="AB183">
            <v>346.11470000000003</v>
          </cell>
          <cell r="AC183">
            <v>228.08846811201448</v>
          </cell>
          <cell r="AE183">
            <v>32.825099999999999</v>
          </cell>
          <cell r="AI183">
            <v>5.7087000000000003</v>
          </cell>
          <cell r="DO183">
            <v>183</v>
          </cell>
        </row>
        <row r="184">
          <cell r="A184" t="str">
            <v>Kingsport-Bristol-Bristol, TN-VA Metro Area</v>
          </cell>
          <cell r="B184">
            <v>1470.9103508514584</v>
          </cell>
          <cell r="C184">
            <v>2222.5529042578214</v>
          </cell>
          <cell r="D184">
            <v>1325.4430906375155</v>
          </cell>
          <cell r="E184">
            <v>1303.6233999999999</v>
          </cell>
          <cell r="F184">
            <v>474.8745186563649</v>
          </cell>
          <cell r="G184">
            <v>595.81497081523833</v>
          </cell>
          <cell r="H184">
            <v>369.51355053435117</v>
          </cell>
          <cell r="I184">
            <v>550.58371775279124</v>
          </cell>
          <cell r="K184">
            <v>149.93506770249618</v>
          </cell>
          <cell r="L184">
            <v>139.82769009900989</v>
          </cell>
          <cell r="N184">
            <v>45.738900000000001</v>
          </cell>
          <cell r="O184">
            <v>262.3328834638308</v>
          </cell>
          <cell r="P184">
            <v>263.38643095444058</v>
          </cell>
          <cell r="R184">
            <v>30.792795370488456</v>
          </cell>
          <cell r="S184">
            <v>377.2413560214913</v>
          </cell>
          <cell r="T184">
            <v>243.02614283339727</v>
          </cell>
          <cell r="U184">
            <v>1436.6741999999999</v>
          </cell>
          <cell r="V184">
            <v>826.30682405711207</v>
          </cell>
          <cell r="W184">
            <v>1330.5641359700317</v>
          </cell>
          <cell r="X184">
            <v>1283.7142572524517</v>
          </cell>
          <cell r="Y184">
            <v>1001.4478910105519</v>
          </cell>
          <cell r="AA184">
            <v>231.32849999999999</v>
          </cell>
          <cell r="AC184">
            <v>319.59442159562315</v>
          </cell>
          <cell r="AD184">
            <v>63.664327535879352</v>
          </cell>
          <cell r="AF184">
            <v>33.331499999999998</v>
          </cell>
          <cell r="AG184">
            <v>191.09399999999999</v>
          </cell>
          <cell r="AH184">
            <v>264.57139999999998</v>
          </cell>
          <cell r="AI184">
            <v>104.6739664556962</v>
          </cell>
          <cell r="AK184">
            <v>764.1223972264246</v>
          </cell>
          <cell r="AN184">
            <v>67.618499999999997</v>
          </cell>
          <cell r="AO184">
            <v>199.97200000000001</v>
          </cell>
          <cell r="AP184">
            <v>101.5727</v>
          </cell>
          <cell r="AR184">
            <v>169.42500000000001</v>
          </cell>
          <cell r="AV184">
            <v>65.010843859188228</v>
          </cell>
          <cell r="DO184">
            <v>184</v>
          </cell>
        </row>
        <row r="185">
          <cell r="A185" t="str">
            <v>Kingston, NY Metro Area</v>
          </cell>
          <cell r="B185">
            <v>4840.1934004142504</v>
          </cell>
          <cell r="C185">
            <v>1756.7903697572744</v>
          </cell>
          <cell r="D185">
            <v>2088.5840798049039</v>
          </cell>
          <cell r="F185">
            <v>354.95107623880597</v>
          </cell>
          <cell r="G185">
            <v>201.13402723858701</v>
          </cell>
          <cell r="I185">
            <v>245.76679999999999</v>
          </cell>
          <cell r="J185">
            <v>302.51784384282541</v>
          </cell>
          <cell r="K185">
            <v>575.04465373943663</v>
          </cell>
          <cell r="L185">
            <v>2185.8029000000001</v>
          </cell>
          <cell r="N185">
            <v>745.77152491083677</v>
          </cell>
          <cell r="O185">
            <v>520.40045135586331</v>
          </cell>
          <cell r="P185">
            <v>925.11223744158099</v>
          </cell>
          <cell r="R185">
            <v>88.801000000000002</v>
          </cell>
          <cell r="T185">
            <v>214.75647414275065</v>
          </cell>
          <cell r="V185">
            <v>229.26623852961728</v>
          </cell>
          <cell r="W185">
            <v>632.1241</v>
          </cell>
          <cell r="X185">
            <v>126.29969999999999</v>
          </cell>
          <cell r="Y185">
            <v>323.77394391902578</v>
          </cell>
          <cell r="AA185">
            <v>407.3302773331506</v>
          </cell>
          <cell r="AB185">
            <v>6.3622000000000005</v>
          </cell>
          <cell r="AD185">
            <v>50.082000000000001</v>
          </cell>
          <cell r="DO185">
            <v>185</v>
          </cell>
        </row>
        <row r="186">
          <cell r="A186" t="str">
            <v>Knoxville, TN Metro Area</v>
          </cell>
          <cell r="B186">
            <v>6413.8219724333185</v>
          </cell>
          <cell r="C186">
            <v>3523.1278060987079</v>
          </cell>
          <cell r="D186">
            <v>1873.3544963106606</v>
          </cell>
          <cell r="E186">
            <v>2185.52262113492</v>
          </cell>
          <cell r="F186">
            <v>1905.3961783731379</v>
          </cell>
          <cell r="G186">
            <v>1509.1758417495296</v>
          </cell>
          <cell r="H186">
            <v>1491.9523539835325</v>
          </cell>
          <cell r="I186">
            <v>1475.558457293025</v>
          </cell>
          <cell r="J186">
            <v>1461.0486067735887</v>
          </cell>
          <cell r="K186">
            <v>1456.1099603698744</v>
          </cell>
          <cell r="L186">
            <v>1092.8687546726269</v>
          </cell>
          <cell r="M186">
            <v>1131.9062914838039</v>
          </cell>
          <cell r="N186">
            <v>807.56679107352682</v>
          </cell>
          <cell r="O186">
            <v>1558.6404072056523</v>
          </cell>
          <cell r="P186">
            <v>660.52448524060185</v>
          </cell>
          <cell r="Q186">
            <v>1284.634743907354</v>
          </cell>
          <cell r="R186">
            <v>344.01144529262092</v>
          </cell>
          <cell r="S186">
            <v>833.69240105731376</v>
          </cell>
          <cell r="T186">
            <v>1045.4201035022613</v>
          </cell>
          <cell r="U186">
            <v>426.40629352832002</v>
          </cell>
          <cell r="V186">
            <v>497.28504477138603</v>
          </cell>
          <cell r="W186">
            <v>221.85582706910682</v>
          </cell>
          <cell r="X186">
            <v>981.74112058608057</v>
          </cell>
          <cell r="Y186">
            <v>899.1065310224601</v>
          </cell>
          <cell r="Z186">
            <v>79.204364735945489</v>
          </cell>
          <cell r="AA186">
            <v>228.70950163999473</v>
          </cell>
          <cell r="AB186">
            <v>344.20787960639888</v>
          </cell>
          <cell r="AC186">
            <v>27.060099999999998</v>
          </cell>
          <cell r="AE186">
            <v>289.12650000000002</v>
          </cell>
          <cell r="AF186">
            <v>172.88820000000001</v>
          </cell>
          <cell r="AK186">
            <v>57.559199999999997</v>
          </cell>
          <cell r="DO186">
            <v>186</v>
          </cell>
        </row>
        <row r="187">
          <cell r="A187" t="str">
            <v>Kokomo, IN Metro Area</v>
          </cell>
          <cell r="B187">
            <v>3714.1495773855977</v>
          </cell>
          <cell r="C187">
            <v>2534.9582627116424</v>
          </cell>
          <cell r="D187">
            <v>1459.3082035738832</v>
          </cell>
          <cell r="E187">
            <v>596.66776219807934</v>
          </cell>
          <cell r="F187">
            <v>1845.2659338289964</v>
          </cell>
          <cell r="H187">
            <v>157.46690000000001</v>
          </cell>
          <cell r="I187">
            <v>48.414499999999997</v>
          </cell>
          <cell r="J187">
            <v>59.569499999999998</v>
          </cell>
          <cell r="K187">
            <v>80.097800000000007</v>
          </cell>
          <cell r="P187">
            <v>210.97750000000002</v>
          </cell>
          <cell r="Q187">
            <v>36.286860902255633</v>
          </cell>
          <cell r="DO187">
            <v>187</v>
          </cell>
        </row>
        <row r="188">
          <cell r="A188" t="str">
            <v>La Crosse, WI-MN Metro Area</v>
          </cell>
          <cell r="B188">
            <v>5317.5796014088992</v>
          </cell>
          <cell r="C188">
            <v>3539.2239987134503</v>
          </cell>
          <cell r="D188">
            <v>2260.2547462516441</v>
          </cell>
          <cell r="E188">
            <v>2325.6011343175851</v>
          </cell>
          <cell r="F188">
            <v>618.75436610157806</v>
          </cell>
          <cell r="G188">
            <v>2907.0079999999998</v>
          </cell>
          <cell r="H188">
            <v>238.85480000000001</v>
          </cell>
          <cell r="I188">
            <v>26.317299999999999</v>
          </cell>
          <cell r="J188">
            <v>397.76769999999999</v>
          </cell>
          <cell r="K188">
            <v>143.11490000000001</v>
          </cell>
          <cell r="L188">
            <v>505.82285634768311</v>
          </cell>
          <cell r="P188">
            <v>42.164700000000003</v>
          </cell>
          <cell r="S188">
            <v>134.33644088028774</v>
          </cell>
          <cell r="X188">
            <v>15.401300000000001</v>
          </cell>
          <cell r="DO188">
            <v>188</v>
          </cell>
        </row>
        <row r="189">
          <cell r="A189" t="str">
            <v>Lafayette, IN Metro Area</v>
          </cell>
          <cell r="B189">
            <v>5745.4487989987119</v>
          </cell>
          <cell r="C189">
            <v>9386.2733018493727</v>
          </cell>
          <cell r="D189">
            <v>3341.5422769401334</v>
          </cell>
          <cell r="E189">
            <v>2053.7489887744018</v>
          </cell>
          <cell r="F189">
            <v>1275.5872901643365</v>
          </cell>
          <cell r="G189">
            <v>195.44895742897847</v>
          </cell>
          <cell r="H189">
            <v>65.19979420985598</v>
          </cell>
          <cell r="I189">
            <v>106.9218</v>
          </cell>
          <cell r="J189">
            <v>106.4028</v>
          </cell>
          <cell r="L189">
            <v>32.0974</v>
          </cell>
          <cell r="Q189">
            <v>34.700899999999997</v>
          </cell>
          <cell r="R189">
            <v>710.93550000000005</v>
          </cell>
          <cell r="S189">
            <v>23.833599999999997</v>
          </cell>
          <cell r="T189">
            <v>204.8699</v>
          </cell>
          <cell r="U189">
            <v>36.149500000000003</v>
          </cell>
          <cell r="W189">
            <v>128.82249999999999</v>
          </cell>
          <cell r="Z189">
            <v>36.320351603294199</v>
          </cell>
          <cell r="AB189">
            <v>28.998199999999997</v>
          </cell>
          <cell r="AF189">
            <v>14.9298</v>
          </cell>
          <cell r="DO189">
            <v>189</v>
          </cell>
        </row>
        <row r="190">
          <cell r="A190" t="str">
            <v>Lafayette, LA Metro Area</v>
          </cell>
          <cell r="B190">
            <v>3954.20689367151</v>
          </cell>
          <cell r="C190">
            <v>2715.8203068102443</v>
          </cell>
          <cell r="D190">
            <v>3386.2418510070142</v>
          </cell>
          <cell r="E190">
            <v>2427.0586621209595</v>
          </cell>
          <cell r="F190">
            <v>1394.1044737928173</v>
          </cell>
          <cell r="G190">
            <v>1464.9866909711759</v>
          </cell>
          <cell r="H190">
            <v>1114.1424075207256</v>
          </cell>
          <cell r="I190">
            <v>406.91527896268548</v>
          </cell>
          <cell r="J190">
            <v>533.81418061527609</v>
          </cell>
          <cell r="K190">
            <v>179.20624378266442</v>
          </cell>
          <cell r="M190">
            <v>229.55082405626524</v>
          </cell>
          <cell r="N190">
            <v>155.90084658560832</v>
          </cell>
          <cell r="O190">
            <v>282.33670000000001</v>
          </cell>
          <cell r="P190">
            <v>77.105099999999993</v>
          </cell>
          <cell r="R190">
            <v>16.323599999999999</v>
          </cell>
          <cell r="BH190">
            <v>8.1635000000000009</v>
          </cell>
          <cell r="DO190">
            <v>190</v>
          </cell>
        </row>
        <row r="191">
          <cell r="A191" t="str">
            <v>Lake Charles, LA Metro Area</v>
          </cell>
          <cell r="B191">
            <v>2053.3162295747911</v>
          </cell>
          <cell r="C191">
            <v>2782.3897303782087</v>
          </cell>
          <cell r="D191">
            <v>3093.5327961588259</v>
          </cell>
          <cell r="E191">
            <v>1617.2061433673468</v>
          </cell>
          <cell r="F191">
            <v>1987.9085139934671</v>
          </cell>
          <cell r="G191">
            <v>1075.5527779930053</v>
          </cell>
          <cell r="H191">
            <v>500.26189186940582</v>
          </cell>
          <cell r="I191">
            <v>2338.1453000000001</v>
          </cell>
          <cell r="J191">
            <v>902.51410409015671</v>
          </cell>
          <cell r="K191">
            <v>609.73750148216914</v>
          </cell>
          <cell r="M191">
            <v>29.584</v>
          </cell>
          <cell r="N191">
            <v>678.19029999999998</v>
          </cell>
          <cell r="O191">
            <v>33.970500000000001</v>
          </cell>
          <cell r="T191">
            <v>6.2862999999999998</v>
          </cell>
          <cell r="V191">
            <v>172.1969</v>
          </cell>
          <cell r="W191">
            <v>559.47170000000006</v>
          </cell>
          <cell r="Z191">
            <v>3.8495000000000004</v>
          </cell>
          <cell r="AA191">
            <v>20.763500000000001</v>
          </cell>
          <cell r="DO191">
            <v>191</v>
          </cell>
        </row>
        <row r="192">
          <cell r="A192" t="str">
            <v>Lake Havasu City-Kingman, AZ Metro Area</v>
          </cell>
          <cell r="B192">
            <v>2405.0760723744124</v>
          </cell>
          <cell r="C192">
            <v>1312.9279196932212</v>
          </cell>
          <cell r="D192">
            <v>1822.0416960648713</v>
          </cell>
          <cell r="E192">
            <v>265.82304830523998</v>
          </cell>
          <cell r="G192">
            <v>22.942599999999999</v>
          </cell>
          <cell r="AE192">
            <v>133.73589999999999</v>
          </cell>
          <cell r="AK192">
            <v>93.170500000000004</v>
          </cell>
          <cell r="AL192">
            <v>66.167199999999994</v>
          </cell>
          <cell r="AP192">
            <v>959.16499999999996</v>
          </cell>
          <cell r="AQ192">
            <v>374.19450000000001</v>
          </cell>
          <cell r="AR192">
            <v>230.69600398043895</v>
          </cell>
          <cell r="AT192">
            <v>740.83931183107677</v>
          </cell>
          <cell r="AV192">
            <v>3151.6102440080685</v>
          </cell>
          <cell r="AW192">
            <v>1992.6673185795814</v>
          </cell>
          <cell r="AZ192">
            <v>638.82650000000001</v>
          </cell>
          <cell r="BA192">
            <v>295.95580000000001</v>
          </cell>
          <cell r="BB192">
            <v>47.3215</v>
          </cell>
          <cell r="BC192">
            <v>1337.1744494472957</v>
          </cell>
          <cell r="BD192">
            <v>472.2840072054899</v>
          </cell>
          <cell r="BF192">
            <v>2378.8397623065403</v>
          </cell>
          <cell r="BG192">
            <v>3422.1574000000001</v>
          </cell>
          <cell r="BH192">
            <v>40.731946875419972</v>
          </cell>
          <cell r="CB192">
            <v>8.7058</v>
          </cell>
          <cell r="CF192">
            <v>2.1202000000000001</v>
          </cell>
          <cell r="CL192">
            <v>1.8892</v>
          </cell>
          <cell r="DK192">
            <v>2.1444000000000001</v>
          </cell>
          <cell r="DO192">
            <v>192</v>
          </cell>
        </row>
        <row r="193">
          <cell r="A193" t="str">
            <v>Lakeland-Winter Haven, FL Metro Area</v>
          </cell>
          <cell r="B193">
            <v>4661.1950599665188</v>
          </cell>
          <cell r="C193">
            <v>3382.1821151444992</v>
          </cell>
          <cell r="D193">
            <v>2829.7306000289022</v>
          </cell>
          <cell r="E193">
            <v>2145.4393258740788</v>
          </cell>
          <cell r="F193">
            <v>1634.9764795239378</v>
          </cell>
          <cell r="G193">
            <v>1558.7183769044977</v>
          </cell>
          <cell r="H193">
            <v>1771.7888708463017</v>
          </cell>
          <cell r="I193">
            <v>1091.148944349037</v>
          </cell>
          <cell r="J193">
            <v>1633.1252488126258</v>
          </cell>
          <cell r="K193">
            <v>1236.2611352055442</v>
          </cell>
          <cell r="L193">
            <v>706.88187739962234</v>
          </cell>
          <cell r="M193">
            <v>2161.695479448897</v>
          </cell>
          <cell r="N193">
            <v>1684.1602223416289</v>
          </cell>
          <cell r="O193">
            <v>1281.3661428852977</v>
          </cell>
          <cell r="P193">
            <v>2183.2243303284949</v>
          </cell>
          <cell r="Q193">
            <v>1069.9329184192263</v>
          </cell>
          <cell r="R193">
            <v>852.11435099689857</v>
          </cell>
          <cell r="S193">
            <v>1428.1553775184898</v>
          </cell>
          <cell r="T193">
            <v>868.99469999999997</v>
          </cell>
          <cell r="U193">
            <v>294.25035332215299</v>
          </cell>
          <cell r="V193">
            <v>1016.5420628743281</v>
          </cell>
          <cell r="W193">
            <v>827.8100730774072</v>
          </cell>
          <cell r="X193">
            <v>2301.6116999999999</v>
          </cell>
          <cell r="Y193">
            <v>474.52874924931274</v>
          </cell>
          <cell r="Z193">
            <v>456.67894745087131</v>
          </cell>
          <cell r="AA193">
            <v>659.15930000000003</v>
          </cell>
          <cell r="AB193">
            <v>1044.7525032707451</v>
          </cell>
          <cell r="AC193">
            <v>450.94607082763855</v>
          </cell>
          <cell r="AE193">
            <v>681.22848768290544</v>
          </cell>
          <cell r="AF193">
            <v>65.762200000000007</v>
          </cell>
          <cell r="AG193">
            <v>70.531199999999998</v>
          </cell>
          <cell r="AH193">
            <v>474.17595781074402</v>
          </cell>
          <cell r="AJ193">
            <v>26.318773527101335</v>
          </cell>
          <cell r="AL193">
            <v>82.989900000000006</v>
          </cell>
          <cell r="AP193">
            <v>20.838100000000001</v>
          </cell>
          <cell r="DO193">
            <v>193</v>
          </cell>
        </row>
        <row r="194">
          <cell r="A194" t="str">
            <v>Lancaster, PA Metro Area</v>
          </cell>
          <cell r="B194">
            <v>16402.644140315646</v>
          </cell>
          <cell r="C194">
            <v>4261.5682462334926</v>
          </cell>
          <cell r="D194">
            <v>2193.3233486096874</v>
          </cell>
          <cell r="E194">
            <v>1657.6198596405277</v>
          </cell>
          <cell r="F194">
            <v>1443.166359634022</v>
          </cell>
          <cell r="G194">
            <v>723.25854666329269</v>
          </cell>
          <cell r="H194">
            <v>1866.5935948532274</v>
          </cell>
          <cell r="I194">
            <v>1147.9349201052796</v>
          </cell>
          <cell r="J194">
            <v>1249.2397624066903</v>
          </cell>
          <cell r="K194">
            <v>1560.1978031781887</v>
          </cell>
          <cell r="L194">
            <v>1654.8144180251606</v>
          </cell>
          <cell r="M194">
            <v>2063.0744007323192</v>
          </cell>
          <cell r="N194">
            <v>1355.7526133381332</v>
          </cell>
          <cell r="O194">
            <v>715.20868156654569</v>
          </cell>
          <cell r="Q194">
            <v>321.31699399235396</v>
          </cell>
          <cell r="R194">
            <v>1105.0713635409072</v>
          </cell>
          <cell r="S194">
            <v>1548.5527129510406</v>
          </cell>
          <cell r="T194">
            <v>213.50046585365851</v>
          </cell>
          <cell r="U194">
            <v>164.93908968692449</v>
          </cell>
          <cell r="V194">
            <v>219.43299999999999</v>
          </cell>
          <cell r="DO194">
            <v>194</v>
          </cell>
        </row>
        <row r="195">
          <cell r="A195" t="str">
            <v>Lansing-East Lansing, MI Metro Area</v>
          </cell>
          <cell r="B195">
            <v>4372.2769573311516</v>
          </cell>
          <cell r="C195">
            <v>4999.7502597263847</v>
          </cell>
          <cell r="D195">
            <v>3424.2720766701182</v>
          </cell>
          <cell r="E195">
            <v>11201.452031054365</v>
          </cell>
          <cell r="F195">
            <v>6452.2990601387783</v>
          </cell>
          <cell r="G195">
            <v>1747.9248214393253</v>
          </cell>
          <cell r="H195">
            <v>1549.7249451206681</v>
          </cell>
          <cell r="I195">
            <v>882.98673361068313</v>
          </cell>
          <cell r="J195">
            <v>457.14679579733331</v>
          </cell>
          <cell r="K195">
            <v>1910.6853808841518</v>
          </cell>
          <cell r="L195">
            <v>867.29930000000002</v>
          </cell>
          <cell r="M195">
            <v>421.02580077513915</v>
          </cell>
          <cell r="N195">
            <v>300.23616693684863</v>
          </cell>
          <cell r="O195">
            <v>414.63972931345245</v>
          </cell>
          <cell r="P195">
            <v>64.994061450559698</v>
          </cell>
          <cell r="Q195">
            <v>314.48824718822618</v>
          </cell>
          <cell r="R195">
            <v>494.83256807434418</v>
          </cell>
          <cell r="S195">
            <v>760.23670408467513</v>
          </cell>
          <cell r="T195">
            <v>421.8352986566033</v>
          </cell>
          <cell r="U195">
            <v>587.47521498059507</v>
          </cell>
          <cell r="V195">
            <v>117.18300000000001</v>
          </cell>
          <cell r="X195">
            <v>63.339900000000007</v>
          </cell>
          <cell r="Y195">
            <v>58.355466682669238</v>
          </cell>
          <cell r="Z195">
            <v>74.801599999999993</v>
          </cell>
          <cell r="AA195">
            <v>63.171066833214368</v>
          </cell>
          <cell r="AD195">
            <v>68.406899999999993</v>
          </cell>
          <cell r="DO195">
            <v>195</v>
          </cell>
        </row>
        <row r="196">
          <cell r="A196" t="str">
            <v>Laredo, TX Metro Area</v>
          </cell>
          <cell r="B196">
            <v>6499.8855546672139</v>
          </cell>
          <cell r="C196">
            <v>8375.3353618650053</v>
          </cell>
          <cell r="D196">
            <v>8182.4265117716586</v>
          </cell>
          <cell r="E196">
            <v>6375.4697583374136</v>
          </cell>
          <cell r="F196">
            <v>4389.4292904499889</v>
          </cell>
          <cell r="G196">
            <v>3466.9222609210346</v>
          </cell>
          <cell r="H196">
            <v>1853.7434092498411</v>
          </cell>
          <cell r="I196">
            <v>256.89940000000001</v>
          </cell>
          <cell r="K196">
            <v>730.54499999999996</v>
          </cell>
          <cell r="N196">
            <v>146.1808</v>
          </cell>
          <cell r="P196">
            <v>0.94179999999999997</v>
          </cell>
          <cell r="W196">
            <v>1.8609999999999998</v>
          </cell>
          <cell r="Z196">
            <v>3.3835000000000002</v>
          </cell>
          <cell r="DO196">
            <v>196</v>
          </cell>
        </row>
        <row r="197">
          <cell r="A197" t="str">
            <v>Las Cruces, NM Metro Area</v>
          </cell>
          <cell r="B197">
            <v>3711.8204022298846</v>
          </cell>
          <cell r="C197">
            <v>4197.7875077054578</v>
          </cell>
          <cell r="D197">
            <v>2753.3588984576572</v>
          </cell>
          <cell r="E197">
            <v>567.41294847738459</v>
          </cell>
          <cell r="F197">
            <v>666.04995997752599</v>
          </cell>
          <cell r="G197">
            <v>25.402582242802495</v>
          </cell>
          <cell r="I197">
            <v>897.61609999999996</v>
          </cell>
          <cell r="J197">
            <v>18.7195</v>
          </cell>
          <cell r="M197">
            <v>49.709400000000002</v>
          </cell>
          <cell r="N197">
            <v>228.26163792207794</v>
          </cell>
          <cell r="S197">
            <v>1.8204</v>
          </cell>
          <cell r="U197">
            <v>74.207599999999999</v>
          </cell>
          <cell r="V197">
            <v>12.542400000000001</v>
          </cell>
          <cell r="Y197">
            <v>3628.599866469146</v>
          </cell>
          <cell r="AB197">
            <v>87.3035</v>
          </cell>
          <cell r="AD197">
            <v>179.78389999999999</v>
          </cell>
          <cell r="AH197">
            <v>7.7401</v>
          </cell>
          <cell r="AJ197">
            <v>13.539800000000001</v>
          </cell>
          <cell r="AL197">
            <v>1920.8898766804609</v>
          </cell>
          <cell r="AM197">
            <v>4944.9654999999993</v>
          </cell>
          <cell r="DO197">
            <v>197</v>
          </cell>
        </row>
        <row r="198">
          <cell r="A198" t="str">
            <v>Las Vegas-Paradise, NV Metro Area</v>
          </cell>
          <cell r="B198">
            <v>8677.0062827781603</v>
          </cell>
          <cell r="C198">
            <v>7868.0714020077712</v>
          </cell>
          <cell r="D198">
            <v>8094.2751265440938</v>
          </cell>
          <cell r="E198">
            <v>9066.9560486413193</v>
          </cell>
          <cell r="F198">
            <v>9069.798495368148</v>
          </cell>
          <cell r="G198">
            <v>8350.0713036879624</v>
          </cell>
          <cell r="H198">
            <v>6986.76047140437</v>
          </cell>
          <cell r="I198">
            <v>5694.2941298280903</v>
          </cell>
          <cell r="J198">
            <v>5724.7349290204338</v>
          </cell>
          <cell r="K198">
            <v>6098.1601663923939</v>
          </cell>
          <cell r="L198">
            <v>5152.1842344024089</v>
          </cell>
          <cell r="M198">
            <v>6077.5511002836674</v>
          </cell>
          <cell r="N198">
            <v>4749.4531677891036</v>
          </cell>
          <cell r="O198">
            <v>3719.1128533430929</v>
          </cell>
          <cell r="P198">
            <v>4606.817175539918</v>
          </cell>
          <cell r="Q198">
            <v>3642.708149744898</v>
          </cell>
          <cell r="R198">
            <v>1952.2194168918604</v>
          </cell>
          <cell r="W198">
            <v>2191.4260547518115</v>
          </cell>
          <cell r="X198">
            <v>1352.4319568040492</v>
          </cell>
          <cell r="AC198">
            <v>9.2484999999999999</v>
          </cell>
          <cell r="AP198">
            <v>4.8632999999999997</v>
          </cell>
          <cell r="AS198">
            <v>0.65700000000000003</v>
          </cell>
          <cell r="AU198">
            <v>5.6478000000000002</v>
          </cell>
          <cell r="AV198">
            <v>1524.4118000000001</v>
          </cell>
          <cell r="AW198">
            <v>1.0238</v>
          </cell>
          <cell r="BO198">
            <v>4.7358000000000002</v>
          </cell>
          <cell r="BU198">
            <v>1413.2898</v>
          </cell>
          <cell r="BV198">
            <v>1108.9626102707227</v>
          </cell>
          <cell r="BW198">
            <v>3716.7388000000001</v>
          </cell>
          <cell r="BX198">
            <v>519.226</v>
          </cell>
          <cell r="BY198">
            <v>2121.9656</v>
          </cell>
          <cell r="CA198">
            <v>1938.7393907235621</v>
          </cell>
          <cell r="DO198">
            <v>198</v>
          </cell>
        </row>
        <row r="199">
          <cell r="A199" t="str">
            <v>Lawrence, KS Metro Area</v>
          </cell>
          <cell r="B199">
            <v>6914.8771822885101</v>
          </cell>
          <cell r="C199">
            <v>2722.5946644631185</v>
          </cell>
          <cell r="D199">
            <v>3290.4439587150646</v>
          </cell>
          <cell r="E199">
            <v>2021.7610107919422</v>
          </cell>
          <cell r="H199">
            <v>53.182969795918368</v>
          </cell>
          <cell r="I199">
            <v>165.85959999999997</v>
          </cell>
          <cell r="K199">
            <v>23.417000000000002</v>
          </cell>
          <cell r="O199">
            <v>87.17</v>
          </cell>
          <cell r="DO199">
            <v>199</v>
          </cell>
        </row>
        <row r="200">
          <cell r="A200" t="str">
            <v>Lawton, OK Metro Area</v>
          </cell>
          <cell r="B200">
            <v>3088.9354274809157</v>
          </cell>
          <cell r="C200">
            <v>2825.9380885651153</v>
          </cell>
          <cell r="D200">
            <v>3584.993055739963</v>
          </cell>
          <cell r="E200">
            <v>1482.2225994608962</v>
          </cell>
          <cell r="F200">
            <v>2481.1120417660186</v>
          </cell>
          <cell r="G200">
            <v>2105.5646429179737</v>
          </cell>
          <cell r="J200">
            <v>34.331899999999997</v>
          </cell>
          <cell r="K200">
            <v>17.645</v>
          </cell>
          <cell r="M200">
            <v>20.9802</v>
          </cell>
          <cell r="Q200">
            <v>47.675269120619951</v>
          </cell>
          <cell r="DO200">
            <v>200</v>
          </cell>
        </row>
        <row r="201">
          <cell r="A201" t="str">
            <v>Lebanon, PA Metro Area</v>
          </cell>
          <cell r="B201">
            <v>5395.9376287057685</v>
          </cell>
          <cell r="C201">
            <v>4398.3335447150839</v>
          </cell>
          <cell r="D201">
            <v>784.23779489870378</v>
          </cell>
          <cell r="F201">
            <v>1481.0759892317437</v>
          </cell>
          <cell r="G201">
            <v>146.38460000000001</v>
          </cell>
          <cell r="H201">
            <v>793.66109880394708</v>
          </cell>
          <cell r="I201">
            <v>155.13401392684003</v>
          </cell>
          <cell r="J201">
            <v>452.44327219659527</v>
          </cell>
          <cell r="K201">
            <v>2835.2950832822844</v>
          </cell>
          <cell r="L201">
            <v>248.0635</v>
          </cell>
          <cell r="DO201">
            <v>201</v>
          </cell>
        </row>
        <row r="202">
          <cell r="A202" t="str">
            <v>Lewiston, ID-WA Metro Area</v>
          </cell>
          <cell r="B202">
            <v>1518.7810646755161</v>
          </cell>
          <cell r="C202">
            <v>2744.8327608844834</v>
          </cell>
          <cell r="D202">
            <v>2475.3893046253138</v>
          </cell>
          <cell r="E202">
            <v>838.84722839836093</v>
          </cell>
          <cell r="F202">
            <v>808.24210000000005</v>
          </cell>
          <cell r="I202">
            <v>8.3172999999999995</v>
          </cell>
          <cell r="P202">
            <v>11.2339</v>
          </cell>
          <cell r="Y202">
            <v>5.8879999999999999</v>
          </cell>
          <cell r="DO202">
            <v>202</v>
          </cell>
        </row>
        <row r="203">
          <cell r="A203" t="str">
            <v>Lewiston-Auburn, ME Metro Area</v>
          </cell>
          <cell r="B203">
            <v>7558.4922805275291</v>
          </cell>
          <cell r="C203">
            <v>2057.986922102114</v>
          </cell>
          <cell r="D203">
            <v>542.67643529261215</v>
          </cell>
          <cell r="E203">
            <v>382.42653097655392</v>
          </cell>
          <cell r="I203">
            <v>182.46385298521605</v>
          </cell>
          <cell r="J203">
            <v>127.29640000000001</v>
          </cell>
          <cell r="K203">
            <v>530.2586</v>
          </cell>
          <cell r="L203">
            <v>100.5219</v>
          </cell>
          <cell r="N203">
            <v>96.767299999999992</v>
          </cell>
          <cell r="O203">
            <v>58.073799999999999</v>
          </cell>
          <cell r="W203">
            <v>55.688299999999998</v>
          </cell>
          <cell r="Z203">
            <v>161.93029999999999</v>
          </cell>
          <cell r="DO203">
            <v>203</v>
          </cell>
        </row>
        <row r="204">
          <cell r="A204" t="str">
            <v>Lexington-Fayette, KY Metro Area</v>
          </cell>
          <cell r="B204">
            <v>6557.7303502283812</v>
          </cell>
          <cell r="C204">
            <v>5298.9661226863664</v>
          </cell>
          <cell r="D204">
            <v>4181.6936027410575</v>
          </cell>
          <cell r="E204">
            <v>3545.8119549646426</v>
          </cell>
          <cell r="F204">
            <v>4062.7917619165191</v>
          </cell>
          <cell r="G204">
            <v>4108.6207051551883</v>
          </cell>
          <cell r="H204">
            <v>2217.9507964924001</v>
          </cell>
          <cell r="I204">
            <v>46.125334872705743</v>
          </cell>
          <cell r="K204">
            <v>391.92429703726327</v>
          </cell>
          <cell r="L204">
            <v>42.967100000000002</v>
          </cell>
          <cell r="M204">
            <v>1390.1768579580639</v>
          </cell>
          <cell r="N204">
            <v>1362.476647757321</v>
          </cell>
          <cell r="O204">
            <v>806.14114639889885</v>
          </cell>
          <cell r="P204">
            <v>110.94617515259584</v>
          </cell>
          <cell r="Q204">
            <v>243.08821010261195</v>
          </cell>
          <cell r="R204">
            <v>1905.5968230384317</v>
          </cell>
          <cell r="S204">
            <v>557.52054444444445</v>
          </cell>
          <cell r="T204">
            <v>565.53240634727297</v>
          </cell>
          <cell r="V204">
            <v>61.322917761423554</v>
          </cell>
          <cell r="X204">
            <v>38.115099999999998</v>
          </cell>
          <cell r="Y204">
            <v>27.665900000000001</v>
          </cell>
          <cell r="Z204">
            <v>37.065403563474383</v>
          </cell>
          <cell r="DO204">
            <v>204</v>
          </cell>
        </row>
        <row r="205">
          <cell r="A205" t="str">
            <v>Lima, OH Metro Area</v>
          </cell>
          <cell r="B205">
            <v>4136.5250562951378</v>
          </cell>
          <cell r="C205">
            <v>3300.3641205535091</v>
          </cell>
          <cell r="D205">
            <v>1058.3726956790124</v>
          </cell>
          <cell r="E205">
            <v>292.18349999999998</v>
          </cell>
          <cell r="F205">
            <v>512.3485744618215</v>
          </cell>
          <cell r="G205">
            <v>254.1996</v>
          </cell>
          <cell r="H205">
            <v>58.001899999999999</v>
          </cell>
          <cell r="J205">
            <v>85.560699999999997</v>
          </cell>
          <cell r="K205">
            <v>66.289139344262296</v>
          </cell>
          <cell r="M205">
            <v>90.741900000000001</v>
          </cell>
          <cell r="N205">
            <v>169.39870178704393</v>
          </cell>
          <cell r="Q205">
            <v>560.07690000000002</v>
          </cell>
          <cell r="DO205">
            <v>205</v>
          </cell>
        </row>
        <row r="206">
          <cell r="A206" t="str">
            <v>Lincoln, NE Metro Area</v>
          </cell>
          <cell r="B206">
            <v>9366.6744915169202</v>
          </cell>
          <cell r="C206">
            <v>6381.5651837452624</v>
          </cell>
          <cell r="D206">
            <v>3984.613623076923</v>
          </cell>
          <cell r="E206">
            <v>4282.1491107190895</v>
          </cell>
          <cell r="F206">
            <v>2704.5238505529287</v>
          </cell>
          <cell r="G206">
            <v>3549.1160433004757</v>
          </cell>
          <cell r="H206">
            <v>1035.8401653713427</v>
          </cell>
          <cell r="I206">
            <v>383.18588893257322</v>
          </cell>
          <cell r="K206">
            <v>26.1951</v>
          </cell>
          <cell r="M206">
            <v>31.605716236722309</v>
          </cell>
          <cell r="O206">
            <v>45.450400000000002</v>
          </cell>
          <cell r="V206">
            <v>24.561900000000001</v>
          </cell>
          <cell r="W206">
            <v>668.80230094799572</v>
          </cell>
          <cell r="Z206">
            <v>12.7401</v>
          </cell>
          <cell r="DO206">
            <v>206</v>
          </cell>
        </row>
        <row r="207">
          <cell r="A207" t="str">
            <v>Little Rock-North Little Rock-Conway, AR Metro Area</v>
          </cell>
          <cell r="B207">
            <v>1290.1602782638183</v>
          </cell>
          <cell r="C207">
            <v>2825.1135414535597</v>
          </cell>
          <cell r="D207">
            <v>2713.7339933825247</v>
          </cell>
          <cell r="E207">
            <v>3128.6294427513226</v>
          </cell>
          <cell r="F207">
            <v>2282.2466012431701</v>
          </cell>
          <cell r="G207">
            <v>2540.1851365659445</v>
          </cell>
          <cell r="H207">
            <v>2169.970248510836</v>
          </cell>
          <cell r="I207">
            <v>3059.2082292628315</v>
          </cell>
          <cell r="J207">
            <v>1269.3409175335032</v>
          </cell>
          <cell r="K207">
            <v>1653.4502830830343</v>
          </cell>
          <cell r="L207">
            <v>1160.7021999905901</v>
          </cell>
          <cell r="M207">
            <v>962.34081557556067</v>
          </cell>
          <cell r="N207">
            <v>1467.3859057557381</v>
          </cell>
          <cell r="O207">
            <v>743.74221522333642</v>
          </cell>
          <cell r="P207">
            <v>168.11987222795634</v>
          </cell>
          <cell r="Q207">
            <v>677.90329163631748</v>
          </cell>
          <cell r="R207">
            <v>116.80940777255532</v>
          </cell>
          <cell r="S207">
            <v>217.73496377869179</v>
          </cell>
          <cell r="T207">
            <v>306.37308863557325</v>
          </cell>
          <cell r="U207">
            <v>520.34227234407126</v>
          </cell>
          <cell r="V207">
            <v>1222.8295109127484</v>
          </cell>
          <cell r="W207">
            <v>677.08469652327631</v>
          </cell>
          <cell r="X207">
            <v>466.73312331402144</v>
          </cell>
          <cell r="Y207">
            <v>591.31328565693821</v>
          </cell>
          <cell r="Z207">
            <v>1084.7177844318126</v>
          </cell>
          <cell r="AA207">
            <v>1646.0394823121594</v>
          </cell>
          <cell r="AB207">
            <v>2783.7850127526417</v>
          </cell>
          <cell r="AC207">
            <v>928.95003028222743</v>
          </cell>
          <cell r="AD207">
            <v>80.292614040906585</v>
          </cell>
          <cell r="AE207">
            <v>20.717974231766014</v>
          </cell>
          <cell r="AF207">
            <v>10.1229</v>
          </cell>
          <cell r="AG207">
            <v>144.64949999999999</v>
          </cell>
          <cell r="AH207">
            <v>243.81466976655187</v>
          </cell>
          <cell r="AI207">
            <v>28.555967066709911</v>
          </cell>
          <cell r="AJ207">
            <v>131.0976</v>
          </cell>
          <cell r="AK207">
            <v>19.795223111474069</v>
          </cell>
          <cell r="AL207">
            <v>31.2181</v>
          </cell>
          <cell r="AO207">
            <v>55.982300000000009</v>
          </cell>
          <cell r="AU207">
            <v>6.4836</v>
          </cell>
          <cell r="DO207">
            <v>207</v>
          </cell>
        </row>
        <row r="208">
          <cell r="A208" t="str">
            <v>Logan, UT-ID Metro Area</v>
          </cell>
          <cell r="B208">
            <v>5005.3353993167948</v>
          </cell>
          <cell r="C208">
            <v>4504.5426407901241</v>
          </cell>
          <cell r="D208">
            <v>1985.0287285714287</v>
          </cell>
          <cell r="E208">
            <v>450.21245186922459</v>
          </cell>
          <cell r="F208">
            <v>600.3546</v>
          </cell>
          <cell r="G208">
            <v>0.1479</v>
          </cell>
          <cell r="H208">
            <v>550.0453</v>
          </cell>
          <cell r="I208">
            <v>377.47105361276743</v>
          </cell>
          <cell r="M208">
            <v>41.5685</v>
          </cell>
          <cell r="P208">
            <v>76.870199999999997</v>
          </cell>
          <cell r="R208">
            <v>18.750399999999999</v>
          </cell>
          <cell r="X208">
            <v>38.208500000000001</v>
          </cell>
          <cell r="AC208">
            <v>12.439</v>
          </cell>
          <cell r="DO208">
            <v>208</v>
          </cell>
        </row>
        <row r="209">
          <cell r="A209" t="str">
            <v>Longview, TX Metro Area</v>
          </cell>
          <cell r="C209">
            <v>2342.5889529406782</v>
          </cell>
          <cell r="D209">
            <v>1813.0753463017681</v>
          </cell>
          <cell r="E209">
            <v>1734.7269649997234</v>
          </cell>
          <cell r="F209">
            <v>2024.0385174113139</v>
          </cell>
          <cell r="G209">
            <v>1315.1404</v>
          </cell>
          <cell r="H209">
            <v>278.98901151709777</v>
          </cell>
          <cell r="I209">
            <v>127.35729667964749</v>
          </cell>
          <cell r="K209">
            <v>533.35289999999998</v>
          </cell>
          <cell r="L209">
            <v>266.68686837342108</v>
          </cell>
          <cell r="M209">
            <v>144.51643003902984</v>
          </cell>
          <cell r="O209">
            <v>269.84070000000003</v>
          </cell>
          <cell r="P209">
            <v>58.2759</v>
          </cell>
          <cell r="T209">
            <v>61.252400000000002</v>
          </cell>
          <cell r="U209">
            <v>106.2659</v>
          </cell>
          <cell r="V209">
            <v>240.49893007884222</v>
          </cell>
          <cell r="W209">
            <v>89.377499999999998</v>
          </cell>
          <cell r="X209">
            <v>820.82600000000014</v>
          </cell>
          <cell r="Z209">
            <v>1011.6093793289626</v>
          </cell>
          <cell r="AA209">
            <v>43.5854</v>
          </cell>
          <cell r="AC209">
            <v>27.374010101375813</v>
          </cell>
          <cell r="AN209">
            <v>14.0205</v>
          </cell>
          <cell r="AQ209">
            <v>20.286300000000001</v>
          </cell>
          <cell r="DO209">
            <v>209</v>
          </cell>
        </row>
        <row r="210">
          <cell r="A210" t="str">
            <v>Longview, WA Metro Area</v>
          </cell>
          <cell r="B210">
            <v>3594.8646120929384</v>
          </cell>
          <cell r="C210">
            <v>4347.7779969047942</v>
          </cell>
          <cell r="D210">
            <v>737.42802439939942</v>
          </cell>
          <cell r="E210">
            <v>2041.6109585381491</v>
          </cell>
          <cell r="F210">
            <v>835.32230000000004</v>
          </cell>
          <cell r="G210">
            <v>34.046399999999998</v>
          </cell>
          <cell r="I210">
            <v>45.346899999999998</v>
          </cell>
          <cell r="L210">
            <v>112.83686359794748</v>
          </cell>
          <cell r="M210">
            <v>83.238699999999994</v>
          </cell>
          <cell r="R210">
            <v>3.8045999999999998</v>
          </cell>
          <cell r="S210">
            <v>284.84989999999999</v>
          </cell>
          <cell r="W210">
            <v>19.189900000000002</v>
          </cell>
          <cell r="DO210">
            <v>210</v>
          </cell>
        </row>
        <row r="211">
          <cell r="A211" t="str">
            <v>Los Angeles-Long Beach-Santa Ana, CA Metro Area</v>
          </cell>
          <cell r="B211">
            <v>22979.222644925132</v>
          </cell>
          <cell r="C211">
            <v>31022.816493362967</v>
          </cell>
          <cell r="D211">
            <v>26708.846628429921</v>
          </cell>
          <cell r="E211">
            <v>26763.896096729983</v>
          </cell>
          <cell r="F211">
            <v>19860.934008474866</v>
          </cell>
          <cell r="G211">
            <v>17435.161261565783</v>
          </cell>
          <cell r="H211">
            <v>17712.367076669438</v>
          </cell>
          <cell r="I211">
            <v>15827.381747543528</v>
          </cell>
          <cell r="J211">
            <v>12425.288267146881</v>
          </cell>
          <cell r="K211">
            <v>12344.660178372584</v>
          </cell>
          <cell r="L211">
            <v>11500.49262002606</v>
          </cell>
          <cell r="M211">
            <v>12675.549470785378</v>
          </cell>
          <cell r="N211">
            <v>11926.191946390427</v>
          </cell>
          <cell r="O211">
            <v>11210.755978681816</v>
          </cell>
          <cell r="P211">
            <v>12404.09095612007</v>
          </cell>
          <cell r="Q211">
            <v>9467.6825656954079</v>
          </cell>
          <cell r="R211">
            <v>10612.693402624094</v>
          </cell>
          <cell r="S211">
            <v>13732.351910481208</v>
          </cell>
          <cell r="T211">
            <v>12058.670617069212</v>
          </cell>
          <cell r="U211">
            <v>13220.398732853211</v>
          </cell>
          <cell r="V211">
            <v>9848.8745589218743</v>
          </cell>
          <cell r="W211">
            <v>8435.5984033664827</v>
          </cell>
          <cell r="X211">
            <v>9447.4127455768376</v>
          </cell>
          <cell r="Y211">
            <v>8156.76336530752</v>
          </cell>
          <cell r="Z211">
            <v>8978.784664025723</v>
          </cell>
          <cell r="AA211">
            <v>7344.1717165395967</v>
          </cell>
          <cell r="AB211">
            <v>8364.4107956541411</v>
          </cell>
          <cell r="AC211">
            <v>8009.8172991736092</v>
          </cell>
          <cell r="AD211">
            <v>7796.568373851439</v>
          </cell>
          <cell r="AE211">
            <v>10960.374774549608</v>
          </cell>
          <cell r="AF211">
            <v>9985.3772006879317</v>
          </cell>
          <cell r="AG211">
            <v>8645.490422524399</v>
          </cell>
          <cell r="AH211">
            <v>7382.4714858586285</v>
          </cell>
          <cell r="AI211">
            <v>8691.6416536199522</v>
          </cell>
          <cell r="AJ211">
            <v>5804.1041928855839</v>
          </cell>
          <cell r="AK211">
            <v>6304.5763961894845</v>
          </cell>
          <cell r="AL211">
            <v>6311.3819432104383</v>
          </cell>
          <cell r="AM211">
            <v>5366.0081642126279</v>
          </cell>
          <cell r="AN211">
            <v>2536.9677230213947</v>
          </cell>
          <cell r="AO211">
            <v>1733.2000229792575</v>
          </cell>
          <cell r="AP211">
            <v>1239.02957776774</v>
          </cell>
          <cell r="AQ211">
            <v>2005.3138425323109</v>
          </cell>
          <cell r="AR211">
            <v>3872.1424985094541</v>
          </cell>
          <cell r="AS211">
            <v>5854.001259995518</v>
          </cell>
          <cell r="AT211">
            <v>5795.6878000171064</v>
          </cell>
          <cell r="AU211">
            <v>4891.2377464514357</v>
          </cell>
          <cell r="AV211">
            <v>6251.3722786412864</v>
          </cell>
          <cell r="AW211">
            <v>4977.7873525743253</v>
          </cell>
          <cell r="AX211">
            <v>3679.6322938719136</v>
          </cell>
          <cell r="AY211">
            <v>4158.5878401209993</v>
          </cell>
          <cell r="AZ211">
            <v>4287.1076096338647</v>
          </cell>
          <cell r="BA211">
            <v>5463.6307266627045</v>
          </cell>
          <cell r="BB211">
            <v>2734.7600378712873</v>
          </cell>
          <cell r="BC211">
            <v>3444.0587880781918</v>
          </cell>
          <cell r="BD211">
            <v>1115.6492220303962</v>
          </cell>
          <cell r="BF211">
            <v>7365.7873612669446</v>
          </cell>
          <cell r="BG211">
            <v>5647.3293999999996</v>
          </cell>
          <cell r="BH211">
            <v>2551.1059</v>
          </cell>
          <cell r="DO211">
            <v>211</v>
          </cell>
        </row>
        <row r="212">
          <cell r="A212" t="str">
            <v>Louisville/Jefferson County, KY-IN Metro Area</v>
          </cell>
          <cell r="B212">
            <v>5952.1304973315064</v>
          </cell>
          <cell r="C212">
            <v>6173.5308639452505</v>
          </cell>
          <cell r="D212">
            <v>4560.7796540784866</v>
          </cell>
          <cell r="E212">
            <v>4991.3079729321507</v>
          </cell>
          <cell r="F212">
            <v>4169.0264921608223</v>
          </cell>
          <cell r="G212">
            <v>3440.3160407039281</v>
          </cell>
          <cell r="H212">
            <v>3410.9203332648276</v>
          </cell>
          <cell r="I212">
            <v>3592.4738930611607</v>
          </cell>
          <cell r="J212">
            <v>2711.4540392675772</v>
          </cell>
          <cell r="K212">
            <v>2483.2713259766542</v>
          </cell>
          <cell r="L212">
            <v>2720.340493916658</v>
          </cell>
          <cell r="M212">
            <v>2530.7554925260547</v>
          </cell>
          <cell r="N212">
            <v>2197.9216385341542</v>
          </cell>
          <cell r="O212">
            <v>1992.4604299652635</v>
          </cell>
          <cell r="P212">
            <v>663.42690540190063</v>
          </cell>
          <cell r="Q212">
            <v>488.63942540263542</v>
          </cell>
          <cell r="R212">
            <v>145.04687862585303</v>
          </cell>
          <cell r="S212">
            <v>733.31703241315574</v>
          </cell>
          <cell r="T212">
            <v>965.07004542079198</v>
          </cell>
          <cell r="U212">
            <v>222.36161918903485</v>
          </cell>
          <cell r="V212">
            <v>356.50120585972559</v>
          </cell>
          <cell r="W212">
            <v>201.81410383109449</v>
          </cell>
          <cell r="X212">
            <v>124.75075523278525</v>
          </cell>
          <cell r="Y212">
            <v>567.28650000000005</v>
          </cell>
          <cell r="Z212">
            <v>147.36432003714881</v>
          </cell>
          <cell r="AA212">
            <v>598.52948547562221</v>
          </cell>
          <cell r="AB212">
            <v>55.731221755398757</v>
          </cell>
          <cell r="AC212">
            <v>868.14296468778264</v>
          </cell>
          <cell r="AD212">
            <v>1355.1353918044676</v>
          </cell>
          <cell r="AE212">
            <v>454.64331610263832</v>
          </cell>
          <cell r="AF212">
            <v>436.55308132048668</v>
          </cell>
          <cell r="AG212">
            <v>103.34610000000001</v>
          </cell>
          <cell r="AH212">
            <v>131.4854490266471</v>
          </cell>
          <cell r="AJ212">
            <v>425.48470421849396</v>
          </cell>
          <cell r="AK212">
            <v>38.513248236953451</v>
          </cell>
          <cell r="AL212">
            <v>39.553388131565789</v>
          </cell>
          <cell r="AM212">
            <v>70.608427677354356</v>
          </cell>
          <cell r="AO212">
            <v>28.8155</v>
          </cell>
          <cell r="AR212">
            <v>51.701300000000003</v>
          </cell>
          <cell r="DO212">
            <v>212</v>
          </cell>
        </row>
        <row r="213">
          <cell r="A213" t="str">
            <v>Lubbock, TX Metro Area</v>
          </cell>
          <cell r="B213">
            <v>5452.1435997064409</v>
          </cell>
          <cell r="C213">
            <v>5056.2049329279635</v>
          </cell>
          <cell r="D213">
            <v>3132.0070273164015</v>
          </cell>
          <cell r="E213">
            <v>3898.8406254694378</v>
          </cell>
          <cell r="F213">
            <v>4036.6409782783512</v>
          </cell>
          <cell r="G213">
            <v>3798.7340408193404</v>
          </cell>
          <cell r="H213">
            <v>1839.2912281159133</v>
          </cell>
          <cell r="I213">
            <v>2059.1673999999998</v>
          </cell>
          <cell r="J213">
            <v>152.50449756805443</v>
          </cell>
          <cell r="K213">
            <v>139.53846839080461</v>
          </cell>
          <cell r="L213">
            <v>291.14929811610921</v>
          </cell>
          <cell r="M213">
            <v>726.72970759457121</v>
          </cell>
          <cell r="Q213">
            <v>1627.7843999999998</v>
          </cell>
          <cell r="U213">
            <v>7.3018999999999998</v>
          </cell>
          <cell r="AC213">
            <v>8.0928000000000004</v>
          </cell>
          <cell r="AL213">
            <v>5.4786999999999999</v>
          </cell>
          <cell r="DO213">
            <v>213</v>
          </cell>
        </row>
        <row r="214">
          <cell r="A214" t="str">
            <v>Lynchburg, VA Metro Area</v>
          </cell>
          <cell r="B214">
            <v>3947.2059080352124</v>
          </cell>
          <cell r="C214">
            <v>1522.9406806025615</v>
          </cell>
          <cell r="D214">
            <v>3045.5382307127784</v>
          </cell>
          <cell r="E214">
            <v>1634.0589206159286</v>
          </cell>
          <cell r="F214">
            <v>912.4483936807095</v>
          </cell>
          <cell r="G214">
            <v>1589.3044987032965</v>
          </cell>
          <cell r="H214">
            <v>619.98846279532711</v>
          </cell>
          <cell r="I214">
            <v>756.21478482609393</v>
          </cell>
          <cell r="J214">
            <v>773.16099999999994</v>
          </cell>
          <cell r="K214">
            <v>1279.9450999999999</v>
          </cell>
          <cell r="M214">
            <v>133.1956927025204</v>
          </cell>
          <cell r="O214">
            <v>33.781199999999998</v>
          </cell>
          <cell r="Q214">
            <v>19.825700000000001</v>
          </cell>
          <cell r="R214">
            <v>103.7163</v>
          </cell>
          <cell r="S214">
            <v>28.7349</v>
          </cell>
          <cell r="T214">
            <v>46.220039300388677</v>
          </cell>
          <cell r="U214">
            <v>59.182699999999997</v>
          </cell>
          <cell r="W214">
            <v>823.91403096960926</v>
          </cell>
          <cell r="X214">
            <v>39.422454234707999</v>
          </cell>
          <cell r="Y214">
            <v>94.461600000000018</v>
          </cell>
          <cell r="Z214">
            <v>39.003799999999998</v>
          </cell>
          <cell r="AD214">
            <v>45.6402</v>
          </cell>
          <cell r="AG214">
            <v>63.343499999999999</v>
          </cell>
          <cell r="AH214">
            <v>69.781199999999998</v>
          </cell>
          <cell r="AI214">
            <v>115.82050508474576</v>
          </cell>
          <cell r="AJ214">
            <v>163.7527</v>
          </cell>
          <cell r="AK214">
            <v>140.37809999999999</v>
          </cell>
          <cell r="AN214">
            <v>217.20210000000003</v>
          </cell>
          <cell r="DO214">
            <v>214</v>
          </cell>
        </row>
        <row r="215">
          <cell r="A215" t="str">
            <v>Macon, GA Metro Area</v>
          </cell>
          <cell r="B215">
            <v>2499.3837669744944</v>
          </cell>
          <cell r="C215">
            <v>2673.8181689785756</v>
          </cell>
          <cell r="D215">
            <v>2314.9525006291815</v>
          </cell>
          <cell r="E215">
            <v>1782.935771143492</v>
          </cell>
          <cell r="F215">
            <v>1640.8954485686081</v>
          </cell>
          <cell r="G215">
            <v>893.82163767597649</v>
          </cell>
          <cell r="H215">
            <v>769.13888667110962</v>
          </cell>
          <cell r="I215">
            <v>754.75698900360965</v>
          </cell>
          <cell r="J215">
            <v>601.99367226222614</v>
          </cell>
          <cell r="K215">
            <v>182.99256073166902</v>
          </cell>
          <cell r="N215">
            <v>202.3024056242707</v>
          </cell>
          <cell r="O215">
            <v>48.441814835355281</v>
          </cell>
          <cell r="Q215">
            <v>67.216999999999999</v>
          </cell>
          <cell r="R215">
            <v>16.9114</v>
          </cell>
          <cell r="S215">
            <v>30.574100000000005</v>
          </cell>
          <cell r="U215">
            <v>21.151499999999999</v>
          </cell>
          <cell r="X215">
            <v>40.038974381961417</v>
          </cell>
          <cell r="Y215">
            <v>138.2114</v>
          </cell>
          <cell r="Z215">
            <v>24.436</v>
          </cell>
          <cell r="AE215">
            <v>132.0899</v>
          </cell>
          <cell r="DO215">
            <v>215</v>
          </cell>
        </row>
        <row r="216">
          <cell r="A216" t="str">
            <v>Madera-Chowchilla, CA Metro Area</v>
          </cell>
          <cell r="B216">
            <v>7186.0670229266052</v>
          </cell>
          <cell r="C216">
            <v>5355.9993487662914</v>
          </cell>
          <cell r="D216">
            <v>144.30439999999999</v>
          </cell>
          <cell r="E216">
            <v>255.49870704192182</v>
          </cell>
          <cell r="F216">
            <v>163.47229999999999</v>
          </cell>
          <cell r="H216">
            <v>36.8752</v>
          </cell>
          <cell r="L216">
            <v>208.61943820742127</v>
          </cell>
          <cell r="P216">
            <v>54.588000000000001</v>
          </cell>
          <cell r="Q216">
            <v>2156.8402000000001</v>
          </cell>
          <cell r="T216">
            <v>5.1971999999999996</v>
          </cell>
          <cell r="X216">
            <v>157.80982870632675</v>
          </cell>
          <cell r="AD216">
            <v>63.8431</v>
          </cell>
          <cell r="AJ216">
            <v>140.80187925246193</v>
          </cell>
          <cell r="AK216">
            <v>19.755700000000001</v>
          </cell>
          <cell r="DO216">
            <v>216</v>
          </cell>
        </row>
        <row r="217">
          <cell r="A217" t="str">
            <v>Madison, WI Metro Area</v>
          </cell>
          <cell r="B217">
            <v>30077.841214347991</v>
          </cell>
          <cell r="C217">
            <v>9224.4265272908524</v>
          </cell>
          <cell r="D217">
            <v>4760.4842264259742</v>
          </cell>
          <cell r="E217">
            <v>3665.530700640245</v>
          </cell>
          <cell r="F217">
            <v>3167.1858156790827</v>
          </cell>
          <cell r="G217">
            <v>1784.5467551932727</v>
          </cell>
          <cell r="H217">
            <v>2924.4291875282006</v>
          </cell>
          <cell r="I217">
            <v>2140.2568443389237</v>
          </cell>
          <cell r="J217">
            <v>1049.708838363395</v>
          </cell>
          <cell r="K217">
            <v>804.79838970998173</v>
          </cell>
          <cell r="L217">
            <v>533.23467968182968</v>
          </cell>
          <cell r="M217">
            <v>2011.1030519247515</v>
          </cell>
          <cell r="N217">
            <v>1381.0360655870743</v>
          </cell>
          <cell r="O217">
            <v>485.17725921908897</v>
          </cell>
          <cell r="R217">
            <v>64.524610009436515</v>
          </cell>
          <cell r="S217">
            <v>83.186199999999999</v>
          </cell>
          <cell r="T217">
            <v>292.52952218087404</v>
          </cell>
          <cell r="U217">
            <v>118.09169999999999</v>
          </cell>
          <cell r="V217">
            <v>82.453696393442627</v>
          </cell>
          <cell r="Y217">
            <v>104.30070000000001</v>
          </cell>
          <cell r="Z217">
            <v>36.9099</v>
          </cell>
          <cell r="AA217">
            <v>322.37560000000002</v>
          </cell>
          <cell r="AB217">
            <v>38.963900000000002</v>
          </cell>
          <cell r="AE217">
            <v>27.265799999999999</v>
          </cell>
          <cell r="AF217">
            <v>33.682954454382823</v>
          </cell>
          <cell r="AH217">
            <v>81.0565</v>
          </cell>
          <cell r="AI217">
            <v>603.35589694656494</v>
          </cell>
          <cell r="AL217">
            <v>29.1843</v>
          </cell>
          <cell r="AN217">
            <v>203.3451</v>
          </cell>
          <cell r="AQ217">
            <v>54.461799999999997</v>
          </cell>
          <cell r="AR217">
            <v>57.606699999999996</v>
          </cell>
          <cell r="AX217">
            <v>20.315346098514464</v>
          </cell>
          <cell r="DO217">
            <v>217</v>
          </cell>
        </row>
        <row r="218">
          <cell r="A218" t="str">
            <v>Manchester-Nashua, NH Metro Area</v>
          </cell>
          <cell r="B218">
            <v>11837.778365089416</v>
          </cell>
          <cell r="C218">
            <v>5482.0512685692756</v>
          </cell>
          <cell r="D218">
            <v>2427.3710577307484</v>
          </cell>
          <cell r="E218">
            <v>966.06475651253663</v>
          </cell>
          <cell r="F218">
            <v>920.17670392768082</v>
          </cell>
          <cell r="G218">
            <v>388.0335</v>
          </cell>
          <cell r="H218">
            <v>578.05460000000005</v>
          </cell>
          <cell r="I218">
            <v>868.40698394080835</v>
          </cell>
          <cell r="J218">
            <v>780.27147847397225</v>
          </cell>
          <cell r="L218">
            <v>385.27153162154207</v>
          </cell>
          <cell r="M218">
            <v>498.79780704387991</v>
          </cell>
          <cell r="N218">
            <v>315.53611414020372</v>
          </cell>
          <cell r="O218">
            <v>756.96590000000003</v>
          </cell>
          <cell r="P218">
            <v>1273.1386658813378</v>
          </cell>
          <cell r="Q218">
            <v>4281.6545917966259</v>
          </cell>
          <cell r="R218">
            <v>4569.045169026168</v>
          </cell>
          <cell r="S218">
            <v>953.26510121563751</v>
          </cell>
          <cell r="T218">
            <v>1864.7801928764877</v>
          </cell>
          <cell r="U218">
            <v>3235.586836519029</v>
          </cell>
          <cell r="V218">
            <v>254.21350535278279</v>
          </cell>
          <cell r="X218">
            <v>57.799599999999998</v>
          </cell>
          <cell r="Y218">
            <v>306.78250000000003</v>
          </cell>
          <cell r="Z218">
            <v>119.9374</v>
          </cell>
          <cell r="AA218">
            <v>120.74428801626635</v>
          </cell>
          <cell r="AB218">
            <v>55.185200000000002</v>
          </cell>
          <cell r="DO218">
            <v>218</v>
          </cell>
        </row>
        <row r="219">
          <cell r="A219" t="str">
            <v>Manhattan, KS Metro Area</v>
          </cell>
          <cell r="B219">
            <v>5631.9610320021065</v>
          </cell>
          <cell r="C219">
            <v>4499.5762202258175</v>
          </cell>
          <cell r="D219">
            <v>857.44387449392707</v>
          </cell>
          <cell r="E219">
            <v>861.88</v>
          </cell>
          <cell r="F219">
            <v>45.778399999999998</v>
          </cell>
          <cell r="I219">
            <v>44.386800000000001</v>
          </cell>
          <cell r="O219">
            <v>345.61957848363579</v>
          </cell>
          <cell r="P219">
            <v>237.83410306204672</v>
          </cell>
          <cell r="Q219">
            <v>10.4475</v>
          </cell>
          <cell r="R219">
            <v>911.19629999999995</v>
          </cell>
          <cell r="S219">
            <v>1995.0716871566442</v>
          </cell>
          <cell r="T219">
            <v>1535.3373489871983</v>
          </cell>
          <cell r="W219">
            <v>8.0922999999999998</v>
          </cell>
          <cell r="AB219">
            <v>33.332099999999997</v>
          </cell>
          <cell r="DO219">
            <v>219</v>
          </cell>
        </row>
        <row r="220">
          <cell r="A220" t="str">
            <v>Mankato-North Mankato, MN Metro Area</v>
          </cell>
          <cell r="B220">
            <v>5226.6882135172409</v>
          </cell>
          <cell r="C220">
            <v>3653.5615348501788</v>
          </cell>
          <cell r="D220">
            <v>1330.3318232634438</v>
          </cell>
          <cell r="H220">
            <v>28.944817092056208</v>
          </cell>
          <cell r="I220">
            <v>107.496</v>
          </cell>
          <cell r="L220">
            <v>684.65804166302348</v>
          </cell>
          <cell r="M220">
            <v>75.397999999999996</v>
          </cell>
          <cell r="N220">
            <v>1162.8411000000001</v>
          </cell>
          <cell r="R220">
            <v>18.322619255435633</v>
          </cell>
          <cell r="Y220">
            <v>16.8919</v>
          </cell>
          <cell r="DO220">
            <v>220</v>
          </cell>
        </row>
        <row r="221">
          <cell r="A221" t="str">
            <v>Mansfield, OH Metro Area</v>
          </cell>
          <cell r="B221">
            <v>3808.7362802971788</v>
          </cell>
          <cell r="C221">
            <v>2226.3816046807683</v>
          </cell>
          <cell r="D221">
            <v>896.34109056952661</v>
          </cell>
          <cell r="E221">
            <v>1148.0250915028967</v>
          </cell>
          <cell r="F221">
            <v>399.25325651593323</v>
          </cell>
          <cell r="H221">
            <v>196.47115618036855</v>
          </cell>
          <cell r="J221">
            <v>113.605</v>
          </cell>
          <cell r="L221">
            <v>98.316568352829592</v>
          </cell>
          <cell r="M221">
            <v>1013.1219737863012</v>
          </cell>
          <cell r="N221">
            <v>77.608999999999995</v>
          </cell>
          <cell r="Q221">
            <v>72.654899999999998</v>
          </cell>
          <cell r="DO221">
            <v>221</v>
          </cell>
        </row>
        <row r="222">
          <cell r="A222" t="str">
            <v>McAllen-Edinburg-Mission, TX Metro Area</v>
          </cell>
          <cell r="B222">
            <v>4101.4061525982988</v>
          </cell>
          <cell r="C222">
            <v>3121.157182830726</v>
          </cell>
          <cell r="D222">
            <v>4350.3697324123414</v>
          </cell>
          <cell r="E222">
            <v>3137.9308312729081</v>
          </cell>
          <cell r="F222">
            <v>3422.1902803353823</v>
          </cell>
          <cell r="G222">
            <v>2308.1137709814088</v>
          </cell>
          <cell r="H222">
            <v>2421.8627498210126</v>
          </cell>
          <cell r="I222">
            <v>2228.5431213447023</v>
          </cell>
          <cell r="J222">
            <v>2217.0793272398719</v>
          </cell>
          <cell r="K222">
            <v>1797.596012250423</v>
          </cell>
          <cell r="L222">
            <v>954.26627143159692</v>
          </cell>
          <cell r="M222">
            <v>1775.8697130524151</v>
          </cell>
          <cell r="N222">
            <v>693.47073077343134</v>
          </cell>
          <cell r="O222">
            <v>879.23885938288822</v>
          </cell>
          <cell r="P222">
            <v>2020.7881708319458</v>
          </cell>
          <cell r="Q222">
            <v>1292.5575288312289</v>
          </cell>
          <cell r="R222">
            <v>1527.8176343745811</v>
          </cell>
          <cell r="S222">
            <v>485.50327768965161</v>
          </cell>
          <cell r="T222">
            <v>125.05019999999999</v>
          </cell>
          <cell r="U222">
            <v>444.41029237318838</v>
          </cell>
          <cell r="V222">
            <v>794.37888643156475</v>
          </cell>
          <cell r="W222">
            <v>27.918800000000001</v>
          </cell>
          <cell r="Z222">
            <v>2.8953000000000007</v>
          </cell>
          <cell r="DO222">
            <v>222</v>
          </cell>
        </row>
        <row r="223">
          <cell r="A223" t="str">
            <v>Medford, OR Metro Area</v>
          </cell>
          <cell r="B223">
            <v>6453.5241969685576</v>
          </cell>
          <cell r="C223">
            <v>2934.3142254501354</v>
          </cell>
          <cell r="D223">
            <v>2866.9604549343812</v>
          </cell>
          <cell r="E223">
            <v>2290.089357530419</v>
          </cell>
          <cell r="F223">
            <v>1135.236825632423</v>
          </cell>
          <cell r="G223">
            <v>276.40109999999999</v>
          </cell>
          <cell r="H223">
            <v>242.447</v>
          </cell>
          <cell r="I223">
            <v>783.85818906477141</v>
          </cell>
          <cell r="J223">
            <v>67.751530962343097</v>
          </cell>
          <cell r="L223">
            <v>40.299700000000001</v>
          </cell>
          <cell r="M223">
            <v>435.46206776514606</v>
          </cell>
          <cell r="N223">
            <v>1198.5371521225204</v>
          </cell>
          <cell r="O223">
            <v>2664.2592302699832</v>
          </cell>
          <cell r="R223">
            <v>4.4687000000000001</v>
          </cell>
          <cell r="T223">
            <v>30.3093</v>
          </cell>
          <cell r="U223">
            <v>27.2254</v>
          </cell>
          <cell r="Z223">
            <v>3.5823</v>
          </cell>
          <cell r="DO223">
            <v>223</v>
          </cell>
        </row>
        <row r="224">
          <cell r="A224" t="str">
            <v>Memphis, TN-MS-AR Metro Area</v>
          </cell>
          <cell r="B224">
            <v>4492.0933604565771</v>
          </cell>
          <cell r="C224">
            <v>3603.4224437878047</v>
          </cell>
          <cell r="D224">
            <v>4526.2017956604141</v>
          </cell>
          <cell r="E224">
            <v>3843.6671129834999</v>
          </cell>
          <cell r="F224">
            <v>2584.9868090031632</v>
          </cell>
          <cell r="G224">
            <v>3578.1642911944837</v>
          </cell>
          <cell r="H224">
            <v>3780.7292747040337</v>
          </cell>
          <cell r="I224">
            <v>3151.573421511358</v>
          </cell>
          <cell r="J224">
            <v>2335.0115582646749</v>
          </cell>
          <cell r="K224">
            <v>3015.7934757578005</v>
          </cell>
          <cell r="L224">
            <v>3337.5353504343734</v>
          </cell>
          <cell r="M224">
            <v>2515.5606548417391</v>
          </cell>
          <cell r="N224">
            <v>3204.1159270406756</v>
          </cell>
          <cell r="O224">
            <v>3218.4373509784104</v>
          </cell>
          <cell r="P224">
            <v>2889.6419935314166</v>
          </cell>
          <cell r="Q224">
            <v>2243.6708840341175</v>
          </cell>
          <cell r="R224">
            <v>2212.6683893971031</v>
          </cell>
          <cell r="S224">
            <v>1116.5804029327228</v>
          </cell>
          <cell r="T224">
            <v>860.8432905099645</v>
          </cell>
          <cell r="U224">
            <v>1460.1052858841833</v>
          </cell>
          <cell r="V224">
            <v>900.4762432668166</v>
          </cell>
          <cell r="W224">
            <v>206.44566278488782</v>
          </cell>
          <cell r="X224">
            <v>1210.0155540133369</v>
          </cell>
          <cell r="Y224">
            <v>994.71065677358854</v>
          </cell>
          <cell r="Z224">
            <v>103.07809951956075</v>
          </cell>
          <cell r="AA224">
            <v>244.74799042876609</v>
          </cell>
          <cell r="AB224">
            <v>66.539299999999997</v>
          </cell>
          <cell r="AC224">
            <v>107.76269608288649</v>
          </cell>
          <cell r="AD224">
            <v>85.384301646156302</v>
          </cell>
          <cell r="AE224">
            <v>221.41482951930976</v>
          </cell>
          <cell r="AG224">
            <v>151.98182584576921</v>
          </cell>
          <cell r="AI224">
            <v>43.854207546380984</v>
          </cell>
          <cell r="AJ224">
            <v>49.580800000000004</v>
          </cell>
          <cell r="AK224">
            <v>72.491859871833995</v>
          </cell>
          <cell r="AL224">
            <v>671.89678380840326</v>
          </cell>
          <cell r="AM224">
            <v>71.667057236842098</v>
          </cell>
          <cell r="AO224">
            <v>25.138999999999999</v>
          </cell>
          <cell r="AQ224">
            <v>46.307699999999997</v>
          </cell>
          <cell r="AR224">
            <v>433.47500000000002</v>
          </cell>
          <cell r="AS224">
            <v>285.83165347842981</v>
          </cell>
          <cell r="AX224">
            <v>20.5059</v>
          </cell>
          <cell r="DO224">
            <v>224</v>
          </cell>
        </row>
        <row r="225">
          <cell r="A225" t="str">
            <v>Merced, CA Metro Area</v>
          </cell>
          <cell r="B225">
            <v>5571.6471370370373</v>
          </cell>
          <cell r="C225">
            <v>4470.7383491079154</v>
          </cell>
          <cell r="D225">
            <v>2150.0215156641852</v>
          </cell>
          <cell r="E225">
            <v>870.58794993310767</v>
          </cell>
          <cell r="H225">
            <v>2193.0025978595359</v>
          </cell>
          <cell r="I225">
            <v>4816.9132008072029</v>
          </cell>
          <cell r="J225">
            <v>1690.2097673901249</v>
          </cell>
          <cell r="K225">
            <v>922.40554851864181</v>
          </cell>
          <cell r="O225">
            <v>256.31717512605042</v>
          </cell>
          <cell r="P225">
            <v>3292.1939000000002</v>
          </cell>
          <cell r="S225">
            <v>118.0317329065301</v>
          </cell>
          <cell r="T225">
            <v>5045.6629999999996</v>
          </cell>
          <cell r="V225">
            <v>19.674199999999999</v>
          </cell>
          <cell r="W225">
            <v>155.58140770318022</v>
          </cell>
          <cell r="Y225">
            <v>692.12850000000003</v>
          </cell>
          <cell r="Z225">
            <v>1025.7291</v>
          </cell>
          <cell r="AA225">
            <v>2040.3602000000001</v>
          </cell>
          <cell r="AB225">
            <v>2950.8658</v>
          </cell>
          <cell r="AC225">
            <v>2144.7001</v>
          </cell>
          <cell r="AD225">
            <v>34.732900000000001</v>
          </cell>
          <cell r="AE225">
            <v>7.0323000000000002</v>
          </cell>
          <cell r="DO225">
            <v>225</v>
          </cell>
        </row>
        <row r="226">
          <cell r="A226" t="str">
            <v>Miami-Fort Lauderdale-Pompano Beach, FL Metro Area</v>
          </cell>
          <cell r="B226">
            <v>10052.711527245692</v>
          </cell>
          <cell r="C226">
            <v>9946.4701327823786</v>
          </cell>
          <cell r="D226">
            <v>15447.180235140408</v>
          </cell>
          <cell r="E226">
            <v>18177.789223595075</v>
          </cell>
          <cell r="F226">
            <v>12767.577149633215</v>
          </cell>
          <cell r="G226">
            <v>11494.488188563339</v>
          </cell>
          <cell r="H226">
            <v>11777.977864951736</v>
          </cell>
          <cell r="I226">
            <v>10645.759874932724</v>
          </cell>
          <cell r="J226">
            <v>8500.2249985141607</v>
          </cell>
          <cell r="K226">
            <v>10206.27427288264</v>
          </cell>
          <cell r="L226">
            <v>9021.7220403297833</v>
          </cell>
          <cell r="M226">
            <v>11184.202679120503</v>
          </cell>
          <cell r="N226">
            <v>10302.371324809861</v>
          </cell>
          <cell r="O226">
            <v>7740.9704875026</v>
          </cell>
          <cell r="P226">
            <v>7033.4392086132793</v>
          </cell>
          <cell r="Q226">
            <v>12428.717348212629</v>
          </cell>
          <cell r="R226">
            <v>7897.9865322724509</v>
          </cell>
          <cell r="S226">
            <v>8779.264451920606</v>
          </cell>
          <cell r="T226">
            <v>6754.4029845822697</v>
          </cell>
          <cell r="U226">
            <v>7271.4705334046866</v>
          </cell>
          <cell r="V226">
            <v>5672.0607898914686</v>
          </cell>
          <cell r="W226">
            <v>4649.033899494174</v>
          </cell>
          <cell r="X226">
            <v>4528.1164782875767</v>
          </cell>
          <cell r="Y226">
            <v>2628.1025775144412</v>
          </cell>
          <cell r="Z226">
            <v>3438.1361931262095</v>
          </cell>
          <cell r="AA226">
            <v>3689.3381999078579</v>
          </cell>
          <cell r="AB226">
            <v>3964.7720708540519</v>
          </cell>
          <cell r="AC226">
            <v>5439.7428082683382</v>
          </cell>
          <cell r="AD226">
            <v>5357.4505876029825</v>
          </cell>
          <cell r="AE226">
            <v>8268.2804879077285</v>
          </cell>
          <cell r="AF226">
            <v>7346.1080718785161</v>
          </cell>
          <cell r="AG226">
            <v>6594.7851695088311</v>
          </cell>
          <cell r="AH226">
            <v>6557.692744279494</v>
          </cell>
          <cell r="AI226">
            <v>6538.2427764830563</v>
          </cell>
          <cell r="AJ226">
            <v>6236.552381682498</v>
          </cell>
          <cell r="AK226">
            <v>4826.3451751320963</v>
          </cell>
          <cell r="AL226">
            <v>5859.6200994565324</v>
          </cell>
          <cell r="AM226">
            <v>6408.8362742287754</v>
          </cell>
          <cell r="AN226">
            <v>5606.3592266716614</v>
          </cell>
          <cell r="AO226">
            <v>4507.7071121560575</v>
          </cell>
          <cell r="AP226">
            <v>4310.4633991225419</v>
          </cell>
          <cell r="AQ226">
            <v>5459.7110619493296</v>
          </cell>
          <cell r="AR226">
            <v>4298.358797143027</v>
          </cell>
          <cell r="AS226">
            <v>3988.4723250606635</v>
          </cell>
          <cell r="AT226">
            <v>3436.3731757168161</v>
          </cell>
          <cell r="AU226">
            <v>3285.7858938067716</v>
          </cell>
          <cell r="AV226">
            <v>2850.5490036250453</v>
          </cell>
          <cell r="AW226">
            <v>2893.4863462765152</v>
          </cell>
          <cell r="AX226">
            <v>3112.7547773790452</v>
          </cell>
          <cell r="AY226">
            <v>4531.8535376028376</v>
          </cell>
          <cell r="AZ226">
            <v>4089.2164250933783</v>
          </cell>
          <cell r="BA226">
            <v>3759.9818657870724</v>
          </cell>
          <cell r="BB226">
            <v>2813.8808716369008</v>
          </cell>
          <cell r="BC226">
            <v>2534.8309710174776</v>
          </cell>
          <cell r="BD226">
            <v>3349.4929809803639</v>
          </cell>
          <cell r="BE226">
            <v>4869.7511973426517</v>
          </cell>
          <cell r="BF226">
            <v>3984.4448959997226</v>
          </cell>
          <cell r="BG226">
            <v>4223.0381357160868</v>
          </cell>
          <cell r="BH226">
            <v>5256.5130932939937</v>
          </cell>
          <cell r="BI226">
            <v>4858.3386859184393</v>
          </cell>
          <cell r="BJ226">
            <v>3597.6118075087456</v>
          </cell>
          <cell r="BK226">
            <v>5663.0933598983356</v>
          </cell>
          <cell r="BL226">
            <v>5794.0221455989386</v>
          </cell>
          <cell r="BM226">
            <v>5831.0124857377541</v>
          </cell>
          <cell r="BN226">
            <v>5442.1275362649994</v>
          </cell>
          <cell r="BO226">
            <v>3257.0559284799861</v>
          </cell>
          <cell r="BP226">
            <v>3480.5453245605904</v>
          </cell>
          <cell r="BQ226">
            <v>3916.740515456378</v>
          </cell>
          <cell r="BR226">
            <v>3980.7043343461105</v>
          </cell>
          <cell r="BS226">
            <v>2329.589333522285</v>
          </cell>
          <cell r="BT226">
            <v>3680.9069913424614</v>
          </cell>
          <cell r="BU226">
            <v>4178.0425772192648</v>
          </cell>
          <cell r="BV226">
            <v>2605.8768879944942</v>
          </cell>
          <cell r="BW226">
            <v>1495.139526872282</v>
          </cell>
          <cell r="BX226">
            <v>3383.8394798715681</v>
          </cell>
          <cell r="BY226">
            <v>4032.1951889213142</v>
          </cell>
          <cell r="BZ226">
            <v>3198.1287533611694</v>
          </cell>
          <cell r="CA226">
            <v>4747.8814728258949</v>
          </cell>
          <cell r="CB226">
            <v>2129.5401556658926</v>
          </cell>
          <cell r="CC226">
            <v>1242.7668100887233</v>
          </cell>
          <cell r="CD226">
            <v>95.668800000000005</v>
          </cell>
          <cell r="CE226">
            <v>2899.4000953828918</v>
          </cell>
          <cell r="CF226">
            <v>1974.3740408025863</v>
          </cell>
          <cell r="CG226">
            <v>3124.9447804891684</v>
          </cell>
          <cell r="CH226">
            <v>3578.2544722166422</v>
          </cell>
          <cell r="CI226">
            <v>2896.6260687300437</v>
          </cell>
          <cell r="DO226">
            <v>226</v>
          </cell>
        </row>
        <row r="227">
          <cell r="A227" t="str">
            <v>Michigan City-La Porte, IN Metro Area</v>
          </cell>
          <cell r="B227">
            <v>2652.0023804839657</v>
          </cell>
          <cell r="C227">
            <v>3411.3340482883641</v>
          </cell>
          <cell r="D227">
            <v>1995.6081470756881</v>
          </cell>
          <cell r="E227">
            <v>442.03744542523793</v>
          </cell>
          <cell r="F227">
            <v>856.54629999999997</v>
          </cell>
          <cell r="H227">
            <v>184.33516992680131</v>
          </cell>
          <cell r="L227">
            <v>646.95680000000004</v>
          </cell>
          <cell r="M227">
            <v>145.00415783152908</v>
          </cell>
          <cell r="N227">
            <v>1282.7433217595392</v>
          </cell>
          <cell r="Q227">
            <v>152.05869999999999</v>
          </cell>
          <cell r="S227">
            <v>57.270471474665392</v>
          </cell>
          <cell r="T227">
            <v>61.300699999999999</v>
          </cell>
          <cell r="Y227">
            <v>33.9587</v>
          </cell>
          <cell r="DO227">
            <v>227</v>
          </cell>
        </row>
        <row r="228">
          <cell r="A228" t="str">
            <v>Midland, TX Metro Area</v>
          </cell>
          <cell r="B228">
            <v>3001.8143</v>
          </cell>
          <cell r="C228">
            <v>2650.2332999033124</v>
          </cell>
          <cell r="D228">
            <v>3008.0486729628865</v>
          </cell>
          <cell r="E228">
            <v>3461.7766093241457</v>
          </cell>
          <cell r="F228">
            <v>3889.3573744671485</v>
          </cell>
          <cell r="G228">
            <v>1403.4815729981128</v>
          </cell>
          <cell r="H228">
            <v>21.9481</v>
          </cell>
          <cell r="J228">
            <v>0</v>
          </cell>
          <cell r="L228">
            <v>87.301599999999993</v>
          </cell>
          <cell r="DO228">
            <v>228</v>
          </cell>
        </row>
        <row r="229">
          <cell r="A229" t="str">
            <v>Milwaukee-Waukesha-West Allis, WI Metro Area</v>
          </cell>
          <cell r="B229">
            <v>13686.248421017279</v>
          </cell>
          <cell r="C229">
            <v>15143.554996040142</v>
          </cell>
          <cell r="D229">
            <v>14615.785120609717</v>
          </cell>
          <cell r="E229">
            <v>10709.50485019169</v>
          </cell>
          <cell r="F229">
            <v>7507.4608093500547</v>
          </cell>
          <cell r="G229">
            <v>6124.590897605678</v>
          </cell>
          <cell r="H229">
            <v>6099.2548746964312</v>
          </cell>
          <cell r="I229">
            <v>3944.8098769240323</v>
          </cell>
          <cell r="J229">
            <v>3031.7877280008252</v>
          </cell>
          <cell r="K229">
            <v>2660.4555049394016</v>
          </cell>
          <cell r="L229">
            <v>2270.6143653364452</v>
          </cell>
          <cell r="M229">
            <v>1650.2761457213921</v>
          </cell>
          <cell r="N229">
            <v>1154.7325075229803</v>
          </cell>
          <cell r="O229">
            <v>1325.8547273266977</v>
          </cell>
          <cell r="P229">
            <v>1426.9983835226949</v>
          </cell>
          <cell r="Q229">
            <v>3404.1695527849015</v>
          </cell>
          <cell r="R229">
            <v>1979.4523556155107</v>
          </cell>
          <cell r="S229">
            <v>2529.979192914443</v>
          </cell>
          <cell r="T229">
            <v>1811.8231969912924</v>
          </cell>
          <cell r="U229">
            <v>738.7806181820954</v>
          </cell>
          <cell r="V229">
            <v>445.87356822830293</v>
          </cell>
          <cell r="W229">
            <v>1487.5695743124752</v>
          </cell>
          <cell r="X229">
            <v>466.3316837738065</v>
          </cell>
          <cell r="Y229">
            <v>575.9856247841808</v>
          </cell>
          <cell r="Z229">
            <v>995.80314725211804</v>
          </cell>
          <cell r="AA229">
            <v>497.19166673999314</v>
          </cell>
          <cell r="AB229">
            <v>225.09075958098211</v>
          </cell>
          <cell r="AC229">
            <v>709.91206126868201</v>
          </cell>
          <cell r="AD229">
            <v>1237.2472563986141</v>
          </cell>
          <cell r="AE229">
            <v>1261.4898767237969</v>
          </cell>
          <cell r="AF229">
            <v>1402.3643769593725</v>
          </cell>
          <cell r="AG229">
            <v>642.15502222914063</v>
          </cell>
          <cell r="AH229">
            <v>110.01600000000001</v>
          </cell>
          <cell r="AK229">
            <v>78.898399999999995</v>
          </cell>
          <cell r="AL229">
            <v>207.80859999999998</v>
          </cell>
          <cell r="DO229">
            <v>229</v>
          </cell>
        </row>
        <row r="230">
          <cell r="A230" t="str">
            <v>Minneapolis-St. Paul-Bloomington, MN-WI Metro Area</v>
          </cell>
          <cell r="B230">
            <v>12876.648423459856</v>
          </cell>
          <cell r="C230">
            <v>12789.502335992</v>
          </cell>
          <cell r="D230">
            <v>9448.2718635174224</v>
          </cell>
          <cell r="E230">
            <v>5736.8199032439679</v>
          </cell>
          <cell r="F230">
            <v>5809.0224587773018</v>
          </cell>
          <cell r="G230">
            <v>5245.789912293475</v>
          </cell>
          <cell r="H230">
            <v>4827.2064581437953</v>
          </cell>
          <cell r="I230">
            <v>4733.6295692390659</v>
          </cell>
          <cell r="J230">
            <v>4437.3921853464963</v>
          </cell>
          <cell r="K230">
            <v>3943.3704257451923</v>
          </cell>
          <cell r="L230">
            <v>3300.575385868035</v>
          </cell>
          <cell r="M230">
            <v>3503.8382104749162</v>
          </cell>
          <cell r="N230">
            <v>2787.9088544164274</v>
          </cell>
          <cell r="O230">
            <v>2637.239244809944</v>
          </cell>
          <cell r="P230">
            <v>2449.348179398944</v>
          </cell>
          <cell r="Q230">
            <v>2382.1773800807218</v>
          </cell>
          <cell r="R230">
            <v>2171.3663541989904</v>
          </cell>
          <cell r="S230">
            <v>2364.5825505079656</v>
          </cell>
          <cell r="T230">
            <v>1612.0644647814383</v>
          </cell>
          <cell r="U230">
            <v>1672.8928866747544</v>
          </cell>
          <cell r="V230">
            <v>1468.9360466807389</v>
          </cell>
          <cell r="W230">
            <v>979.1039795970388</v>
          </cell>
          <cell r="X230">
            <v>721.28589619777074</v>
          </cell>
          <cell r="Y230">
            <v>1506.393934738901</v>
          </cell>
          <cell r="Z230">
            <v>992.9601276637419</v>
          </cell>
          <cell r="AA230">
            <v>1144.3719208595801</v>
          </cell>
          <cell r="AB230">
            <v>518.88796879851213</v>
          </cell>
          <cell r="AC230">
            <v>313.57860325871945</v>
          </cell>
          <cell r="AD230">
            <v>387.64645111653704</v>
          </cell>
          <cell r="AE230">
            <v>247.06821995334585</v>
          </cell>
          <cell r="AF230">
            <v>50.478099999999998</v>
          </cell>
          <cell r="AG230">
            <v>55.874268120705111</v>
          </cell>
          <cell r="AH230">
            <v>1221.9992049410905</v>
          </cell>
          <cell r="AI230">
            <v>260.5917260455131</v>
          </cell>
          <cell r="AJ230">
            <v>80.839257241637853</v>
          </cell>
          <cell r="AK230">
            <v>349.92034689008528</v>
          </cell>
          <cell r="AL230">
            <v>120.8954</v>
          </cell>
          <cell r="AM230">
            <v>137.72413831811105</v>
          </cell>
          <cell r="AN230">
            <v>368.85079999999999</v>
          </cell>
          <cell r="AO230">
            <v>116.37955864978903</v>
          </cell>
          <cell r="AP230">
            <v>274.88218641393445</v>
          </cell>
          <cell r="AQ230">
            <v>114.45477758812977</v>
          </cell>
          <cell r="AR230">
            <v>108.05629999999999</v>
          </cell>
          <cell r="AT230">
            <v>90.390100000000004</v>
          </cell>
          <cell r="AU230">
            <v>105.12062414752577</v>
          </cell>
          <cell r="AV230">
            <v>43.295815881883478</v>
          </cell>
          <cell r="AW230">
            <v>51.223199999999999</v>
          </cell>
          <cell r="AX230">
            <v>70.573400000000007</v>
          </cell>
          <cell r="AY230">
            <v>82.417500000000004</v>
          </cell>
          <cell r="AZ230">
            <v>60.753699999999995</v>
          </cell>
          <cell r="BB230">
            <v>31.738900000000005</v>
          </cell>
          <cell r="BC230">
            <v>30.629378367222134</v>
          </cell>
          <cell r="BG230">
            <v>988.97080000000005</v>
          </cell>
          <cell r="DO230">
            <v>230</v>
          </cell>
        </row>
        <row r="231">
          <cell r="A231" t="str">
            <v>Missoula, MT Metro Area</v>
          </cell>
          <cell r="B231">
            <v>4062.4342368852454</v>
          </cell>
          <cell r="C231">
            <v>3683.1032558810043</v>
          </cell>
          <cell r="D231">
            <v>2703.8985676554034</v>
          </cell>
          <cell r="E231">
            <v>1555.4780827291097</v>
          </cell>
          <cell r="F231">
            <v>762.57091888768093</v>
          </cell>
          <cell r="H231">
            <v>14.406000000000001</v>
          </cell>
          <cell r="K231">
            <v>67.183099999999996</v>
          </cell>
          <cell r="M231">
            <v>5.4116</v>
          </cell>
          <cell r="P231">
            <v>22.4297</v>
          </cell>
          <cell r="Z231">
            <v>3.9739</v>
          </cell>
          <cell r="DO231">
            <v>231</v>
          </cell>
        </row>
        <row r="232">
          <cell r="A232" t="str">
            <v>Mobile, AL Metro Area</v>
          </cell>
          <cell r="B232">
            <v>1896.9355345246311</v>
          </cell>
          <cell r="C232">
            <v>3607.1906651563208</v>
          </cell>
          <cell r="D232">
            <v>3747.6524659309862</v>
          </cell>
          <cell r="E232">
            <v>3416.076490241483</v>
          </cell>
          <cell r="F232">
            <v>2756.2659477284069</v>
          </cell>
          <cell r="G232">
            <v>2155.9154382045172</v>
          </cell>
          <cell r="H232">
            <v>2162.1215201670157</v>
          </cell>
          <cell r="I232">
            <v>2016.2857008330382</v>
          </cell>
          <cell r="J232">
            <v>2209.2750125964226</v>
          </cell>
          <cell r="K232">
            <v>2483.5750982881796</v>
          </cell>
          <cell r="L232">
            <v>1417.0595137027756</v>
          </cell>
          <cell r="M232">
            <v>936.23024725045161</v>
          </cell>
          <cell r="N232">
            <v>970.99979705997771</v>
          </cell>
          <cell r="O232">
            <v>641.20707147505414</v>
          </cell>
          <cell r="P232">
            <v>636.76409999999998</v>
          </cell>
          <cell r="Q232">
            <v>259.54041531204643</v>
          </cell>
          <cell r="R232">
            <v>315.83184031815688</v>
          </cell>
          <cell r="S232">
            <v>96.576836651583704</v>
          </cell>
          <cell r="T232">
            <v>175.53279999999998</v>
          </cell>
          <cell r="U232">
            <v>281.79392801181405</v>
          </cell>
          <cell r="V232">
            <v>71.6233</v>
          </cell>
          <cell r="X232">
            <v>127.03610000000002</v>
          </cell>
          <cell r="Y232">
            <v>87.443535336109463</v>
          </cell>
          <cell r="AA232">
            <v>88.4863</v>
          </cell>
          <cell r="AC232">
            <v>44.408499999999997</v>
          </cell>
          <cell r="AF232">
            <v>81.147300000000001</v>
          </cell>
          <cell r="DO232">
            <v>232</v>
          </cell>
        </row>
        <row r="233">
          <cell r="A233" t="str">
            <v>Modesto, CA Metro Area</v>
          </cell>
          <cell r="B233">
            <v>4873.790365544719</v>
          </cell>
          <cell r="C233">
            <v>5273.3845065564383</v>
          </cell>
          <cell r="D233">
            <v>5959.7019843345252</v>
          </cell>
          <cell r="E233">
            <v>6112.1046926386389</v>
          </cell>
          <cell r="F233">
            <v>5342.7985661359544</v>
          </cell>
          <cell r="G233">
            <v>283.69619431532919</v>
          </cell>
          <cell r="H233">
            <v>1933.155432121953</v>
          </cell>
          <cell r="I233">
            <v>3106.9642812645016</v>
          </cell>
          <cell r="L233">
            <v>4657.2272420689651</v>
          </cell>
          <cell r="M233">
            <v>3830.914025470182</v>
          </cell>
          <cell r="N233">
            <v>4471.249969342135</v>
          </cell>
          <cell r="O233">
            <v>1875.0433414877336</v>
          </cell>
          <cell r="P233">
            <v>2002.624254772925</v>
          </cell>
          <cell r="T233">
            <v>4.5724999999999998</v>
          </cell>
          <cell r="X233">
            <v>1627.0647999999999</v>
          </cell>
          <cell r="DO233">
            <v>233</v>
          </cell>
        </row>
        <row r="234">
          <cell r="A234" t="str">
            <v>Monroe, LA Metro Area</v>
          </cell>
          <cell r="B234">
            <v>1613.007396340375</v>
          </cell>
          <cell r="C234">
            <v>2061.2999073732717</v>
          </cell>
          <cell r="D234">
            <v>2592.0261429776406</v>
          </cell>
          <cell r="E234">
            <v>787.51952069626122</v>
          </cell>
          <cell r="F234">
            <v>1654.2276785714287</v>
          </cell>
          <cell r="G234">
            <v>1196.4839183298684</v>
          </cell>
          <cell r="H234">
            <v>938.4674</v>
          </cell>
          <cell r="I234">
            <v>228.31079322136785</v>
          </cell>
          <cell r="J234">
            <v>151.42848245583497</v>
          </cell>
          <cell r="K234">
            <v>180.1771</v>
          </cell>
          <cell r="L234">
            <v>81.880272329376851</v>
          </cell>
          <cell r="O234">
            <v>101.8784</v>
          </cell>
          <cell r="Q234">
            <v>64.139799999999994</v>
          </cell>
          <cell r="T234">
            <v>29.988876888888885</v>
          </cell>
          <cell r="AA234">
            <v>456.6549</v>
          </cell>
          <cell r="AD234">
            <v>12.9466</v>
          </cell>
          <cell r="AI234">
            <v>31.649699999999999</v>
          </cell>
          <cell r="AQ234">
            <v>20.972100000000001</v>
          </cell>
          <cell r="DO234">
            <v>234</v>
          </cell>
        </row>
        <row r="235">
          <cell r="A235" t="str">
            <v>Monroe, MI Metro Area</v>
          </cell>
          <cell r="B235">
            <v>3707.5426031305246</v>
          </cell>
          <cell r="C235">
            <v>1968.4165608117596</v>
          </cell>
          <cell r="D235">
            <v>653.61071281559975</v>
          </cell>
          <cell r="E235">
            <v>693.052698762913</v>
          </cell>
          <cell r="G235">
            <v>307.7782403215993</v>
          </cell>
          <cell r="H235">
            <v>123.1044309491059</v>
          </cell>
          <cell r="J235">
            <v>337.98128512298962</v>
          </cell>
          <cell r="K235">
            <v>219.74880640000001</v>
          </cell>
          <cell r="L235">
            <v>167.82660000000001</v>
          </cell>
          <cell r="M235">
            <v>181.362519756691</v>
          </cell>
          <cell r="N235">
            <v>275.83144862662635</v>
          </cell>
          <cell r="O235">
            <v>123.0828527984504</v>
          </cell>
          <cell r="P235">
            <v>1017.7515813264903</v>
          </cell>
          <cell r="Q235">
            <v>831.23818999316006</v>
          </cell>
          <cell r="R235">
            <v>1533.9254999999998</v>
          </cell>
          <cell r="T235">
            <v>109.23243928873835</v>
          </cell>
          <cell r="DO235">
            <v>235</v>
          </cell>
        </row>
        <row r="236">
          <cell r="A236" t="str">
            <v>Montgomery, AL Metro Area</v>
          </cell>
          <cell r="B236">
            <v>1934.7883070169125</v>
          </cell>
          <cell r="C236">
            <v>3616.2393002365711</v>
          </cell>
          <cell r="D236">
            <v>2282.5018526977224</v>
          </cell>
          <cell r="E236">
            <v>2241.8311060619994</v>
          </cell>
          <cell r="F236">
            <v>2652.6831033089393</v>
          </cell>
          <cell r="G236">
            <v>3153.7596484962255</v>
          </cell>
          <cell r="H236">
            <v>1968.0161023307228</v>
          </cell>
          <cell r="I236">
            <v>973.58937862630955</v>
          </cell>
          <cell r="J236">
            <v>1006.8171116572266</v>
          </cell>
          <cell r="K236">
            <v>1490.1759069525292</v>
          </cell>
          <cell r="L236">
            <v>1587.5266212167692</v>
          </cell>
          <cell r="M236">
            <v>706.83691931712508</v>
          </cell>
          <cell r="N236">
            <v>361.5658819517584</v>
          </cell>
          <cell r="O236">
            <v>78.298344962272523</v>
          </cell>
          <cell r="P236">
            <v>111.75114023482243</v>
          </cell>
          <cell r="Q236">
            <v>134.74760000000001</v>
          </cell>
          <cell r="R236">
            <v>149.71455845258177</v>
          </cell>
          <cell r="S236">
            <v>23.3523</v>
          </cell>
          <cell r="W236">
            <v>50.206099999999999</v>
          </cell>
          <cell r="X236">
            <v>43.877499999999998</v>
          </cell>
          <cell r="Y236">
            <v>52.357501630101041</v>
          </cell>
          <cell r="AA236">
            <v>12.961634185733512</v>
          </cell>
          <cell r="AE236">
            <v>25.21099986145472</v>
          </cell>
          <cell r="DO236">
            <v>236</v>
          </cell>
        </row>
        <row r="237">
          <cell r="A237" t="str">
            <v>Morgantown, WV Metro Area</v>
          </cell>
          <cell r="B237">
            <v>7746.7043295831909</v>
          </cell>
          <cell r="C237">
            <v>2972.0637402279972</v>
          </cell>
          <cell r="D237">
            <v>2978.7345986494538</v>
          </cell>
          <cell r="E237">
            <v>483.85653839174654</v>
          </cell>
          <cell r="F237">
            <v>336.04317553164873</v>
          </cell>
          <cell r="G237">
            <v>94.477900000000005</v>
          </cell>
          <cell r="H237">
            <v>112.38769158553548</v>
          </cell>
          <cell r="I237">
            <v>106.227</v>
          </cell>
          <cell r="M237">
            <v>80.329800000000006</v>
          </cell>
          <cell r="P237">
            <v>106.2124</v>
          </cell>
          <cell r="Q237">
            <v>38.577100000000002</v>
          </cell>
          <cell r="R237">
            <v>51.014600000000002</v>
          </cell>
          <cell r="S237">
            <v>230.9769</v>
          </cell>
          <cell r="U237">
            <v>51.8977</v>
          </cell>
          <cell r="X237">
            <v>36.925550758093159</v>
          </cell>
          <cell r="AD237">
            <v>26.097000000000005</v>
          </cell>
          <cell r="DO237">
            <v>237</v>
          </cell>
        </row>
        <row r="238">
          <cell r="A238" t="str">
            <v>Morristown, TN Metro Area</v>
          </cell>
          <cell r="B238">
            <v>1986.3547646767518</v>
          </cell>
          <cell r="C238">
            <v>1901.1817000000001</v>
          </cell>
          <cell r="D238">
            <v>231.7064218906275</v>
          </cell>
          <cell r="E238">
            <v>710.85046521499441</v>
          </cell>
          <cell r="F238">
            <v>629.39070000000004</v>
          </cell>
          <cell r="G238">
            <v>494.0496</v>
          </cell>
          <cell r="H238">
            <v>187.40440000000001</v>
          </cell>
          <cell r="I238">
            <v>234.19027825962635</v>
          </cell>
          <cell r="J238">
            <v>182.7791036620678</v>
          </cell>
          <cell r="K238">
            <v>102.92560000000002</v>
          </cell>
          <cell r="M238">
            <v>85.828400000000002</v>
          </cell>
          <cell r="N238">
            <v>559.93269999999995</v>
          </cell>
          <cell r="O238">
            <v>251.12379999999996</v>
          </cell>
          <cell r="P238">
            <v>268.16300000000001</v>
          </cell>
          <cell r="R238">
            <v>78.740113636363645</v>
          </cell>
          <cell r="S238">
            <v>96.353999999999999</v>
          </cell>
          <cell r="T238">
            <v>176.53110000000001</v>
          </cell>
          <cell r="V238">
            <v>78.771799999999999</v>
          </cell>
          <cell r="X238">
            <v>164.57589999999999</v>
          </cell>
          <cell r="DO238">
            <v>238</v>
          </cell>
        </row>
        <row r="239">
          <cell r="A239" t="str">
            <v>Mount Vernon-Anacortes, WA Metro Area</v>
          </cell>
          <cell r="B239">
            <v>2939.5241812311401</v>
          </cell>
          <cell r="C239">
            <v>1616.7864045575614</v>
          </cell>
          <cell r="D239">
            <v>4570.2618000000002</v>
          </cell>
          <cell r="E239">
            <v>1989.7352328111508</v>
          </cell>
          <cell r="F239">
            <v>100.926</v>
          </cell>
          <cell r="G239">
            <v>192.5469462797748</v>
          </cell>
          <cell r="H239">
            <v>36.211809004543582</v>
          </cell>
          <cell r="I239">
            <v>1060.7447999999999</v>
          </cell>
          <cell r="J239">
            <v>849.59648451686132</v>
          </cell>
          <cell r="M239">
            <v>75.112597323022015</v>
          </cell>
          <cell r="N239">
            <v>258.20190000000002</v>
          </cell>
          <cell r="O239">
            <v>4467.223</v>
          </cell>
          <cell r="P239">
            <v>1693.1376062799495</v>
          </cell>
          <cell r="Q239">
            <v>1506.4620000000002</v>
          </cell>
          <cell r="R239">
            <v>768.39189326269502</v>
          </cell>
          <cell r="AF239">
            <v>5.2175000000000002</v>
          </cell>
          <cell r="DO239">
            <v>239</v>
          </cell>
        </row>
        <row r="240">
          <cell r="A240" t="str">
            <v>Muncie, IN Metro Area</v>
          </cell>
          <cell r="B240">
            <v>4233.0638522690815</v>
          </cell>
          <cell r="C240">
            <v>4526.0171364393818</v>
          </cell>
          <cell r="D240">
            <v>2335.8148190608404</v>
          </cell>
          <cell r="E240">
            <v>2919.5468000000001</v>
          </cell>
          <cell r="F240">
            <v>369.36498138391732</v>
          </cell>
          <cell r="G240">
            <v>194.0864725219655</v>
          </cell>
          <cell r="I240">
            <v>69.605800000000002</v>
          </cell>
          <cell r="J240">
            <v>115.0051</v>
          </cell>
          <cell r="K240">
            <v>84.431100000000001</v>
          </cell>
          <cell r="L240">
            <v>96.7119</v>
          </cell>
          <cell r="DO240">
            <v>240</v>
          </cell>
        </row>
        <row r="241">
          <cell r="A241" t="str">
            <v>Muskegon-Norton Shores, MI Metro Area</v>
          </cell>
          <cell r="B241">
            <v>3977.9661162521093</v>
          </cell>
          <cell r="C241">
            <v>3527.895746153486</v>
          </cell>
          <cell r="D241">
            <v>3144.9351183116792</v>
          </cell>
          <cell r="E241">
            <v>1656.0651086908315</v>
          </cell>
          <cell r="F241">
            <v>785.72662536667303</v>
          </cell>
          <cell r="G241">
            <v>618.23799498213987</v>
          </cell>
          <cell r="H241">
            <v>463.67075665440387</v>
          </cell>
          <cell r="I241">
            <v>269.10969999999998</v>
          </cell>
          <cell r="J241">
            <v>228.42902440794114</v>
          </cell>
          <cell r="K241">
            <v>241.55869999999999</v>
          </cell>
          <cell r="M241">
            <v>232.85633215838217</v>
          </cell>
          <cell r="N241">
            <v>88.730999999999995</v>
          </cell>
          <cell r="O241">
            <v>175.27890123071271</v>
          </cell>
          <cell r="R241">
            <v>85.756200000000007</v>
          </cell>
          <cell r="T241">
            <v>61.448999999999998</v>
          </cell>
          <cell r="DO241">
            <v>241</v>
          </cell>
        </row>
        <row r="242">
          <cell r="A242" t="str">
            <v>Myrtle Beach-North Myrtle Beach-Conway, SC Metro Area</v>
          </cell>
          <cell r="B242">
            <v>2335.7252712560767</v>
          </cell>
          <cell r="C242">
            <v>1567.0127</v>
          </cell>
          <cell r="D242">
            <v>1009.9903306098967</v>
          </cell>
          <cell r="E242">
            <v>955.01384424850789</v>
          </cell>
          <cell r="F242">
            <v>1476.2585035623952</v>
          </cell>
          <cell r="G242">
            <v>1301.6731643297576</v>
          </cell>
          <cell r="H242">
            <v>1516.6312346533527</v>
          </cell>
          <cell r="I242">
            <v>1699.2284073678948</v>
          </cell>
          <cell r="J242">
            <v>863.68265657607753</v>
          </cell>
          <cell r="K242">
            <v>1992.4709896996953</v>
          </cell>
          <cell r="L242">
            <v>916.73791234366263</v>
          </cell>
          <cell r="M242">
            <v>484.00099459659509</v>
          </cell>
          <cell r="N242">
            <v>481.78727874133239</v>
          </cell>
          <cell r="O242">
            <v>722.85909116038897</v>
          </cell>
          <cell r="P242">
            <v>929.36801225932777</v>
          </cell>
          <cell r="Q242">
            <v>808.24766877694299</v>
          </cell>
          <cell r="R242">
            <v>327.34187741935477</v>
          </cell>
          <cell r="S242">
            <v>266.65485213270142</v>
          </cell>
          <cell r="T242">
            <v>571.1909137660158</v>
          </cell>
          <cell r="U242">
            <v>171.56649265785606</v>
          </cell>
          <cell r="V242">
            <v>313.24630000000002</v>
          </cell>
          <cell r="W242">
            <v>48.020600000000002</v>
          </cell>
          <cell r="X242">
            <v>80.952399999999997</v>
          </cell>
          <cell r="Z242">
            <v>124.35530345104335</v>
          </cell>
          <cell r="AB242">
            <v>55.344900000000003</v>
          </cell>
          <cell r="AC242">
            <v>107.50369999999998</v>
          </cell>
          <cell r="AE242">
            <v>49.500599999999999</v>
          </cell>
          <cell r="AJ242">
            <v>25.033899999999996</v>
          </cell>
          <cell r="DO242">
            <v>242</v>
          </cell>
        </row>
        <row r="243">
          <cell r="A243" t="str">
            <v>Napa, CA Metro Area</v>
          </cell>
          <cell r="B243">
            <v>8345.9920223040735</v>
          </cell>
          <cell r="C243">
            <v>5243.3810842492703</v>
          </cell>
          <cell r="D243">
            <v>4358.63907113402</v>
          </cell>
          <cell r="E243">
            <v>2109.3039041156294</v>
          </cell>
          <cell r="F243">
            <v>206.24430000000001</v>
          </cell>
          <cell r="G243">
            <v>78.562100000000001</v>
          </cell>
          <cell r="J243">
            <v>1900.7571097903708</v>
          </cell>
          <cell r="K243">
            <v>6303.5403571558791</v>
          </cell>
          <cell r="Q243">
            <v>36.264800000000001</v>
          </cell>
          <cell r="R243">
            <v>932.12009999999987</v>
          </cell>
          <cell r="S243">
            <v>1391.0637999999999</v>
          </cell>
          <cell r="T243">
            <v>6.8864999999999998</v>
          </cell>
          <cell r="V243">
            <v>78.2624</v>
          </cell>
          <cell r="AA243">
            <v>1986.2371000000003</v>
          </cell>
          <cell r="AB243">
            <v>18.932400000000001</v>
          </cell>
          <cell r="DO243">
            <v>243</v>
          </cell>
        </row>
        <row r="244">
          <cell r="A244" t="str">
            <v>Naples-Marco Island, FL Metro Area</v>
          </cell>
          <cell r="B244">
            <v>2585.2022614952934</v>
          </cell>
          <cell r="C244">
            <v>2852.1091512750236</v>
          </cell>
          <cell r="D244">
            <v>2428.5891497786679</v>
          </cell>
          <cell r="E244">
            <v>2993.1825412549892</v>
          </cell>
          <cell r="F244">
            <v>3138.9909548254104</v>
          </cell>
          <cell r="G244">
            <v>2768.5596841916658</v>
          </cell>
          <cell r="H244">
            <v>3051.1532744674914</v>
          </cell>
          <cell r="I244">
            <v>3061.414824136637</v>
          </cell>
          <cell r="J244">
            <v>3420.3629269160515</v>
          </cell>
          <cell r="K244">
            <v>2338.1385504850618</v>
          </cell>
          <cell r="L244">
            <v>890.31212729245794</v>
          </cell>
          <cell r="M244">
            <v>716.9138137973556</v>
          </cell>
          <cell r="N244">
            <v>937.31671575917198</v>
          </cell>
          <cell r="O244">
            <v>149.02619999999999</v>
          </cell>
          <cell r="P244">
            <v>650.39060003889233</v>
          </cell>
          <cell r="Q244">
            <v>1229.5971804590665</v>
          </cell>
          <cell r="R244">
            <v>3182.5956000000001</v>
          </cell>
          <cell r="T244">
            <v>36.8506</v>
          </cell>
          <cell r="AE244">
            <v>1208.6083787786617</v>
          </cell>
          <cell r="AF244">
            <v>352.80645501980604</v>
          </cell>
          <cell r="DO244">
            <v>244</v>
          </cell>
        </row>
        <row r="245">
          <cell r="A245" t="str">
            <v>Nashville-Davidson--Murfreesboro--Franklin, TN Metro Area</v>
          </cell>
          <cell r="B245">
            <v>2726.6555043498379</v>
          </cell>
          <cell r="C245">
            <v>4933.5211238085203</v>
          </cell>
          <cell r="D245">
            <v>4543.1815861926825</v>
          </cell>
          <cell r="E245">
            <v>2692.0964769172647</v>
          </cell>
          <cell r="F245">
            <v>2829.3995119611186</v>
          </cell>
          <cell r="G245">
            <v>2802.9375256392045</v>
          </cell>
          <cell r="H245">
            <v>2496.5331813289054</v>
          </cell>
          <cell r="I245">
            <v>2738.5215735306901</v>
          </cell>
          <cell r="J245">
            <v>2864.285710208123</v>
          </cell>
          <cell r="K245">
            <v>2325.7892398127242</v>
          </cell>
          <cell r="L245">
            <v>2698.5942060818402</v>
          </cell>
          <cell r="M245">
            <v>2113.5361543993531</v>
          </cell>
          <cell r="N245">
            <v>1538.2229946257155</v>
          </cell>
          <cell r="O245">
            <v>1010.2285303814272</v>
          </cell>
          <cell r="P245">
            <v>685.91411280013313</v>
          </cell>
          <cell r="Q245">
            <v>1565.3154195897814</v>
          </cell>
          <cell r="R245">
            <v>1515.510386284272</v>
          </cell>
          <cell r="S245">
            <v>659.90280927595632</v>
          </cell>
          <cell r="T245">
            <v>1463.858068968427</v>
          </cell>
          <cell r="U245">
            <v>421.71104122015083</v>
          </cell>
          <cell r="V245">
            <v>1019.281995637121</v>
          </cell>
          <cell r="W245">
            <v>300.93157421135965</v>
          </cell>
          <cell r="X245">
            <v>545.83688781115166</v>
          </cell>
          <cell r="Y245">
            <v>757.85851852339829</v>
          </cell>
          <cell r="Z245">
            <v>819.32083047827518</v>
          </cell>
          <cell r="AA245">
            <v>371.70365151123741</v>
          </cell>
          <cell r="AB245">
            <v>492.97150762104582</v>
          </cell>
          <cell r="AC245">
            <v>568.86289047922958</v>
          </cell>
          <cell r="AD245">
            <v>995.75149743945087</v>
          </cell>
          <cell r="AE245">
            <v>1890.1893550582486</v>
          </cell>
          <cell r="AF245">
            <v>767.70842154450645</v>
          </cell>
          <cell r="AG245">
            <v>2432.3309646319717</v>
          </cell>
          <cell r="AH245">
            <v>1468.6278988285806</v>
          </cell>
          <cell r="AI245">
            <v>1629.8255575954956</v>
          </cell>
          <cell r="AJ245">
            <v>253.28799562031284</v>
          </cell>
          <cell r="AK245">
            <v>195.04499727994394</v>
          </cell>
          <cell r="AL245">
            <v>41.820985899513779</v>
          </cell>
          <cell r="AM245">
            <v>75.514407575757573</v>
          </cell>
          <cell r="AN245">
            <v>112.88145201892213</v>
          </cell>
          <cell r="AP245">
            <v>75.345993698512885</v>
          </cell>
          <cell r="AR245">
            <v>76.703100000000006</v>
          </cell>
          <cell r="AS245">
            <v>63.037599999999991</v>
          </cell>
          <cell r="AT245">
            <v>78.670699999999997</v>
          </cell>
          <cell r="AU245">
            <v>43.473002453064119</v>
          </cell>
          <cell r="AV245">
            <v>407.73469999999992</v>
          </cell>
          <cell r="AW245">
            <v>69.308700000000002</v>
          </cell>
          <cell r="AX245">
            <v>83.722655937090437</v>
          </cell>
          <cell r="AY245">
            <v>79.500200000000007</v>
          </cell>
          <cell r="AZ245">
            <v>22.129799999999999</v>
          </cell>
          <cell r="BA245">
            <v>37.803400000000003</v>
          </cell>
          <cell r="BB245">
            <v>60.320900000000002</v>
          </cell>
          <cell r="BE245">
            <v>12.493499999999999</v>
          </cell>
          <cell r="BF245">
            <v>48.938400000000001</v>
          </cell>
          <cell r="DO245">
            <v>245</v>
          </cell>
        </row>
        <row r="246">
          <cell r="A246" t="str">
            <v>New Haven-Milford, CT Metro Area</v>
          </cell>
          <cell r="B246">
            <v>14677.04578919511</v>
          </cell>
          <cell r="C246">
            <v>9973.1324823561572</v>
          </cell>
          <cell r="D246">
            <v>5693.5687938228875</v>
          </cell>
          <cell r="E246">
            <v>4513.8836533043586</v>
          </cell>
          <cell r="F246">
            <v>2747.2996617788067</v>
          </cell>
          <cell r="G246">
            <v>2097.065011783232</v>
          </cell>
          <cell r="H246">
            <v>1508.2654059525114</v>
          </cell>
          <cell r="I246">
            <v>1788.1526009166173</v>
          </cell>
          <cell r="J246">
            <v>2978.9860003189528</v>
          </cell>
          <cell r="K246">
            <v>1469.2996763981712</v>
          </cell>
          <cell r="L246">
            <v>1385.1177031379059</v>
          </cell>
          <cell r="M246">
            <v>2639.924790707194</v>
          </cell>
          <cell r="N246">
            <v>1200.7256425689209</v>
          </cell>
          <cell r="O246">
            <v>1156.9348096079584</v>
          </cell>
          <cell r="P246">
            <v>1016.5018132938467</v>
          </cell>
          <cell r="Q246">
            <v>1595.0241427764875</v>
          </cell>
          <cell r="R246">
            <v>3463.6221880739035</v>
          </cell>
          <cell r="S246">
            <v>5472.5032542976005</v>
          </cell>
          <cell r="T246">
            <v>5384.5107525860585</v>
          </cell>
          <cell r="U246">
            <v>3792.4871147735194</v>
          </cell>
          <cell r="V246">
            <v>2434.6908621902971</v>
          </cell>
          <cell r="W246">
            <v>471.28467461283913</v>
          </cell>
          <cell r="DO246">
            <v>246</v>
          </cell>
        </row>
        <row r="247">
          <cell r="A247" t="str">
            <v>New Orleans-Metairie-Kenner, LA Metro Area</v>
          </cell>
          <cell r="B247">
            <v>6727.8731801744589</v>
          </cell>
          <cell r="C247">
            <v>10426.172446749808</v>
          </cell>
          <cell r="D247">
            <v>7614.1331310460155</v>
          </cell>
          <cell r="E247">
            <v>5210.6589207841307</v>
          </cell>
          <cell r="F247">
            <v>5887.3702333795527</v>
          </cell>
          <cell r="G247">
            <v>4507.9204572981134</v>
          </cell>
          <cell r="H247">
            <v>5719.5856390600384</v>
          </cell>
          <cell r="I247">
            <v>4453.5573669540809</v>
          </cell>
          <cell r="J247">
            <v>4274.6989344148642</v>
          </cell>
          <cell r="K247">
            <v>4007.7615238311023</v>
          </cell>
          <cell r="L247">
            <v>5836.784334734386</v>
          </cell>
          <cell r="M247">
            <v>4769.4319536037519</v>
          </cell>
          <cell r="N247">
            <v>5790.4484711274763</v>
          </cell>
          <cell r="O247">
            <v>1023.3812999999999</v>
          </cell>
          <cell r="P247">
            <v>105.143</v>
          </cell>
          <cell r="Q247">
            <v>388.88031441860466</v>
          </cell>
          <cell r="R247">
            <v>754.2945584131736</v>
          </cell>
          <cell r="S247">
            <v>1478.1797999999999</v>
          </cell>
          <cell r="T247">
            <v>1049.7663819622942</v>
          </cell>
          <cell r="V247">
            <v>2557.4769000000001</v>
          </cell>
          <cell r="W247">
            <v>169.9924</v>
          </cell>
          <cell r="X247">
            <v>1.1232</v>
          </cell>
          <cell r="Y247">
            <v>58.456310915175699</v>
          </cell>
          <cell r="Z247">
            <v>26.988299999999999</v>
          </cell>
          <cell r="AA247">
            <v>2347.9384317303743</v>
          </cell>
          <cell r="AB247">
            <v>2540.4345177756763</v>
          </cell>
          <cell r="AC247">
            <v>999.41177944606898</v>
          </cell>
          <cell r="AD247">
            <v>1325.5032972631966</v>
          </cell>
          <cell r="AE247">
            <v>1383.1897186185565</v>
          </cell>
          <cell r="AF247">
            <v>1606.4844151803934</v>
          </cell>
          <cell r="AG247">
            <v>1202.6778641621261</v>
          </cell>
          <cell r="AH247">
            <v>1339.5373</v>
          </cell>
          <cell r="AI247">
            <v>238.78017660753227</v>
          </cell>
          <cell r="AJ247">
            <v>1348.0449166123778</v>
          </cell>
          <cell r="AK247">
            <v>420.2815775527352</v>
          </cell>
          <cell r="AL247">
            <v>1182.6194</v>
          </cell>
          <cell r="AM247">
            <v>173.84894300007878</v>
          </cell>
          <cell r="AO247">
            <v>382.71650000000005</v>
          </cell>
          <cell r="AR247">
            <v>122.4751</v>
          </cell>
          <cell r="AS247">
            <v>154.05889999999999</v>
          </cell>
          <cell r="AT247">
            <v>68.9679</v>
          </cell>
          <cell r="AU247">
            <v>107.00749999999999</v>
          </cell>
          <cell r="AV247">
            <v>19.495100000000001</v>
          </cell>
          <cell r="BC247">
            <v>228.56770000000003</v>
          </cell>
          <cell r="BI247">
            <v>9.6959999999999997</v>
          </cell>
          <cell r="DO247">
            <v>247</v>
          </cell>
        </row>
        <row r="248">
          <cell r="A248" t="str">
            <v>New York-Northern New Jersey-Long Island, NY-NJ-PA Metro Area</v>
          </cell>
          <cell r="B248">
            <v>78522.163196121735</v>
          </cell>
          <cell r="C248">
            <v>80951.074811251354</v>
          </cell>
          <cell r="D248">
            <v>65912.235893552774</v>
          </cell>
          <cell r="E248">
            <v>58140.34071638911</v>
          </cell>
          <cell r="F248">
            <v>75949.731939359379</v>
          </cell>
          <cell r="G248">
            <v>75091.882803343717</v>
          </cell>
          <cell r="H248">
            <v>57433.700058948831</v>
          </cell>
          <cell r="I248">
            <v>54631.555317543513</v>
          </cell>
          <cell r="J248">
            <v>45041.096871387912</v>
          </cell>
          <cell r="K248">
            <v>52924.427935624793</v>
          </cell>
          <cell r="L248">
            <v>46835.0083968283</v>
          </cell>
          <cell r="M248">
            <v>44316.000146529703</v>
          </cell>
          <cell r="N248">
            <v>33884.567143296415</v>
          </cell>
          <cell r="O248">
            <v>22199.610971005786</v>
          </cell>
          <cell r="P248">
            <v>18108.911601006384</v>
          </cell>
          <cell r="Q248">
            <v>14492.900231609075</v>
          </cell>
          <cell r="R248">
            <v>12051.908041657385</v>
          </cell>
          <cell r="S248">
            <v>9895.280829738811</v>
          </cell>
          <cell r="T248">
            <v>6686.6423040018326</v>
          </cell>
          <cell r="U248">
            <v>6726.5486792004913</v>
          </cell>
          <cell r="V248">
            <v>7060.9264828964187</v>
          </cell>
          <cell r="W248">
            <v>5196.6732474588489</v>
          </cell>
          <cell r="X248">
            <v>5355.2729870370367</v>
          </cell>
          <cell r="Y248">
            <v>4649.3912487192338</v>
          </cell>
          <cell r="Z248">
            <v>4960.1710430902294</v>
          </cell>
          <cell r="AA248">
            <v>5479.7336350919504</v>
          </cell>
          <cell r="AB248">
            <v>5082.7789963656051</v>
          </cell>
          <cell r="AC248">
            <v>5690.8880951642432</v>
          </cell>
          <cell r="AD248">
            <v>6938.8368114322166</v>
          </cell>
          <cell r="AE248">
            <v>4356.6798607636811</v>
          </cell>
          <cell r="AF248">
            <v>2596.5417427742027</v>
          </cell>
          <cell r="AG248">
            <v>3874.6615389201806</v>
          </cell>
          <cell r="AH248">
            <v>3628.4516627226462</v>
          </cell>
          <cell r="AI248">
            <v>4413.0371212340806</v>
          </cell>
          <cell r="AJ248">
            <v>4123.7961791841581</v>
          </cell>
          <cell r="AK248">
            <v>2511.3275651587119</v>
          </cell>
          <cell r="AL248">
            <v>2585.0756160632359</v>
          </cell>
          <cell r="AM248">
            <v>3009.9672310605915</v>
          </cell>
          <cell r="AN248">
            <v>2675.1597952178254</v>
          </cell>
          <cell r="AO248">
            <v>3347.4199295224712</v>
          </cell>
          <cell r="AP248">
            <v>2973.2115359318591</v>
          </cell>
          <cell r="AQ248">
            <v>2501.6662970774742</v>
          </cell>
          <cell r="AR248">
            <v>2948.8339427200135</v>
          </cell>
          <cell r="AS248">
            <v>3656.1370440882738</v>
          </cell>
          <cell r="AT248">
            <v>5031.6549912140817</v>
          </cell>
          <cell r="AU248">
            <v>1981.6827643237741</v>
          </cell>
          <cell r="AV248">
            <v>2334.5880533214286</v>
          </cell>
          <cell r="AW248">
            <v>2229.295317683971</v>
          </cell>
          <cell r="AX248">
            <v>2736.6838695850656</v>
          </cell>
          <cell r="AY248">
            <v>2126.7646674583748</v>
          </cell>
          <cell r="AZ248">
            <v>2242.1923055331149</v>
          </cell>
          <cell r="BA248">
            <v>3359.1637790554473</v>
          </cell>
          <cell r="BB248">
            <v>2943.9307961148575</v>
          </cell>
          <cell r="BC248">
            <v>2087.1757442176281</v>
          </cell>
          <cell r="BD248">
            <v>2341.1179352708618</v>
          </cell>
          <cell r="BE248">
            <v>1825.7802705604038</v>
          </cell>
          <cell r="BF248">
            <v>1601.5526723682467</v>
          </cell>
          <cell r="BG248">
            <v>1014.3471077365166</v>
          </cell>
          <cell r="BH248">
            <v>2461.8717118705827</v>
          </cell>
          <cell r="BI248">
            <v>2038.8413654933113</v>
          </cell>
          <cell r="BJ248">
            <v>1504.3742851120944</v>
          </cell>
          <cell r="BK248">
            <v>2280.4767086040847</v>
          </cell>
          <cell r="BL248">
            <v>874.66553976009357</v>
          </cell>
          <cell r="BM248">
            <v>1071.0940959513246</v>
          </cell>
          <cell r="BN248">
            <v>448.36173210338097</v>
          </cell>
          <cell r="BO248">
            <v>358.53570000000002</v>
          </cell>
          <cell r="BP248">
            <v>1351.9473291184834</v>
          </cell>
          <cell r="BQ248">
            <v>250.84118850931677</v>
          </cell>
          <cell r="BR248">
            <v>1509.5367310059087</v>
          </cell>
          <cell r="BS248">
            <v>369.54987218237289</v>
          </cell>
          <cell r="BT248">
            <v>359.12738879805187</v>
          </cell>
          <cell r="BU248">
            <v>1460.0564275042445</v>
          </cell>
          <cell r="BV248">
            <v>332.1125236361184</v>
          </cell>
          <cell r="BW248">
            <v>809.78144127516794</v>
          </cell>
          <cell r="BX248">
            <v>349.28739999999999</v>
          </cell>
          <cell r="BY248">
            <v>501.75189061413676</v>
          </cell>
          <cell r="BZ248">
            <v>130.7766</v>
          </cell>
          <cell r="CA248">
            <v>979.73308309019751</v>
          </cell>
          <cell r="CB248">
            <v>463.11322105993492</v>
          </cell>
          <cell r="CC248">
            <v>1049.2168934087363</v>
          </cell>
          <cell r="CD248">
            <v>1166.5819175336535</v>
          </cell>
          <cell r="CE248">
            <v>554.57410000000004</v>
          </cell>
          <cell r="CF248">
            <v>841.63763657611366</v>
          </cell>
          <cell r="CG248">
            <v>0.1232</v>
          </cell>
          <cell r="CH248">
            <v>395.9271</v>
          </cell>
          <cell r="CI248">
            <v>526.39701517443837</v>
          </cell>
          <cell r="CL248">
            <v>279.57900000000001</v>
          </cell>
          <cell r="CM248">
            <v>2285.8099000000002</v>
          </cell>
          <cell r="CN248">
            <v>172.56919022230255</v>
          </cell>
          <cell r="CO248">
            <v>551.71540000000005</v>
          </cell>
          <cell r="CP248">
            <v>251.9614</v>
          </cell>
          <cell r="CS248">
            <v>257.24740000000003</v>
          </cell>
          <cell r="CT248">
            <v>227.3349</v>
          </cell>
          <cell r="CU248">
            <v>428.62158054145516</v>
          </cell>
          <cell r="CW248">
            <v>179.87989999999996</v>
          </cell>
          <cell r="DO248">
            <v>248</v>
          </cell>
        </row>
        <row r="249">
          <cell r="A249" t="str">
            <v>Niles-Benton Harbor, MI Metro Area</v>
          </cell>
          <cell r="B249">
            <v>1792.6680596048213</v>
          </cell>
          <cell r="C249">
            <v>1349.9233999999999</v>
          </cell>
          <cell r="D249">
            <v>147.9836</v>
          </cell>
          <cell r="E249">
            <v>639.32489999999996</v>
          </cell>
          <cell r="F249">
            <v>1034.8367000000001</v>
          </cell>
          <cell r="G249">
            <v>783.21505552624967</v>
          </cell>
          <cell r="I249">
            <v>89.466200000000001</v>
          </cell>
          <cell r="J249">
            <v>144.9845</v>
          </cell>
          <cell r="L249">
            <v>1207.0558593059936</v>
          </cell>
          <cell r="O249">
            <v>65.484900637619546</v>
          </cell>
          <cell r="P249">
            <v>115.26128185075886</v>
          </cell>
          <cell r="R249">
            <v>217.09881663938086</v>
          </cell>
          <cell r="S249">
            <v>393.83589813414028</v>
          </cell>
          <cell r="T249">
            <v>1083.9839440636968</v>
          </cell>
          <cell r="U249">
            <v>852.97257375568188</v>
          </cell>
          <cell r="V249">
            <v>1396.3283551181105</v>
          </cell>
          <cell r="W249">
            <v>3375.7106637717748</v>
          </cell>
          <cell r="X249">
            <v>1898.6427064703335</v>
          </cell>
          <cell r="Y249">
            <v>247.51329999999996</v>
          </cell>
          <cell r="AA249">
            <v>297.80361433147544</v>
          </cell>
          <cell r="AB249">
            <v>199.92490000000001</v>
          </cell>
          <cell r="DO249">
            <v>249</v>
          </cell>
        </row>
        <row r="250">
          <cell r="A250" t="str">
            <v>North Port-Bradenton-Sarasota, FL Metro Area</v>
          </cell>
          <cell r="C250">
            <v>1662.8112000000001</v>
          </cell>
          <cell r="D250">
            <v>819.51548152195119</v>
          </cell>
          <cell r="E250">
            <v>1450.2164093829342</v>
          </cell>
          <cell r="F250">
            <v>3291.1181999999994</v>
          </cell>
          <cell r="K250">
            <v>554.09470469688699</v>
          </cell>
          <cell r="L250">
            <v>996.64742511389522</v>
          </cell>
          <cell r="M250">
            <v>1799.1070264843468</v>
          </cell>
          <cell r="N250">
            <v>2025.7720229577892</v>
          </cell>
          <cell r="O250">
            <v>3008.6636529685802</v>
          </cell>
          <cell r="P250">
            <v>1195.2326933740551</v>
          </cell>
          <cell r="Q250">
            <v>2505.9522257073654</v>
          </cell>
          <cell r="R250">
            <v>746.77067099277144</v>
          </cell>
          <cell r="T250">
            <v>1130.8376000000001</v>
          </cell>
          <cell r="U250">
            <v>1070.7149738142291</v>
          </cell>
          <cell r="V250">
            <v>2364.6286083365349</v>
          </cell>
          <cell r="W250">
            <v>1919.7593510949432</v>
          </cell>
          <cell r="X250">
            <v>3355.0730971198241</v>
          </cell>
          <cell r="Y250">
            <v>3304.5063918080464</v>
          </cell>
          <cell r="Z250">
            <v>2751.6456718400314</v>
          </cell>
          <cell r="AA250">
            <v>2834.023399537622</v>
          </cell>
          <cell r="AB250">
            <v>2294.1127568775182</v>
          </cell>
          <cell r="AC250">
            <v>2985.1025367673133</v>
          </cell>
          <cell r="AD250">
            <v>3202.4815732717107</v>
          </cell>
          <cell r="AE250">
            <v>2244.7879955293811</v>
          </cell>
          <cell r="AF250">
            <v>2004.7181344734254</v>
          </cell>
          <cell r="AG250">
            <v>852.97608739251882</v>
          </cell>
          <cell r="AH250">
            <v>2356.9067407836246</v>
          </cell>
          <cell r="AI250">
            <v>3353.446394462901</v>
          </cell>
          <cell r="AJ250">
            <v>3128.9690373254762</v>
          </cell>
          <cell r="AK250">
            <v>4629.833447018631</v>
          </cell>
          <cell r="AL250">
            <v>3787.0327062977954</v>
          </cell>
          <cell r="AM250">
            <v>2297.5282767415847</v>
          </cell>
          <cell r="AN250">
            <v>2420.0370082437016</v>
          </cell>
          <cell r="AO250">
            <v>1825.9952394885561</v>
          </cell>
          <cell r="AP250">
            <v>957.85407371663246</v>
          </cell>
          <cell r="AQ250">
            <v>1958.2635</v>
          </cell>
          <cell r="AR250">
            <v>355.57730000000004</v>
          </cell>
          <cell r="AT250">
            <v>2296.6815000000001</v>
          </cell>
          <cell r="DO250">
            <v>250</v>
          </cell>
        </row>
        <row r="251">
          <cell r="A251" t="str">
            <v>Norwich-New London, CT Metro Area</v>
          </cell>
          <cell r="B251">
            <v>4716.6017950825189</v>
          </cell>
          <cell r="C251">
            <v>2542.3140276309223</v>
          </cell>
          <cell r="D251">
            <v>588.11363109660579</v>
          </cell>
          <cell r="E251">
            <v>857.92635297952256</v>
          </cell>
          <cell r="G251">
            <v>537.0278416832972</v>
          </cell>
          <cell r="H251">
            <v>420.04850650602401</v>
          </cell>
          <cell r="I251">
            <v>554.22145594939309</v>
          </cell>
          <cell r="J251">
            <v>346.41823967349626</v>
          </cell>
          <cell r="K251">
            <v>846.48551816581323</v>
          </cell>
          <cell r="L251">
            <v>1982.3108761289452</v>
          </cell>
          <cell r="M251">
            <v>1916.6188265559167</v>
          </cell>
          <cell r="N251">
            <v>2594.4032057235086</v>
          </cell>
          <cell r="O251">
            <v>1646.1496137457889</v>
          </cell>
          <cell r="P251">
            <v>2316.0866936721341</v>
          </cell>
          <cell r="Q251">
            <v>692.73942894839877</v>
          </cell>
          <cell r="R251">
            <v>485.5856061791045</v>
          </cell>
          <cell r="S251">
            <v>800.38639999999998</v>
          </cell>
          <cell r="T251">
            <v>333.81785013810338</v>
          </cell>
          <cell r="DO251">
            <v>251</v>
          </cell>
        </row>
        <row r="252">
          <cell r="A252" t="str">
            <v>Ocala, FL Metro Area</v>
          </cell>
          <cell r="B252">
            <v>1724.1112592009872</v>
          </cell>
          <cell r="C252">
            <v>2080.9713673587958</v>
          </cell>
          <cell r="D252">
            <v>1371.4096666431344</v>
          </cell>
          <cell r="E252">
            <v>1371.8172043998375</v>
          </cell>
          <cell r="F252">
            <v>775.32680041878643</v>
          </cell>
          <cell r="G252">
            <v>942.63064798449602</v>
          </cell>
          <cell r="H252">
            <v>355.98915439156815</v>
          </cell>
          <cell r="I252">
            <v>1284.4327290046522</v>
          </cell>
          <cell r="J252">
            <v>883.89759736328119</v>
          </cell>
          <cell r="K252">
            <v>431.42925598542195</v>
          </cell>
          <cell r="L252">
            <v>1448.3428030843511</v>
          </cell>
          <cell r="M252">
            <v>735.28925752610451</v>
          </cell>
          <cell r="N252">
            <v>611.61405755355747</v>
          </cell>
          <cell r="O252">
            <v>373.02049230552581</v>
          </cell>
          <cell r="P252">
            <v>82.428331363017691</v>
          </cell>
          <cell r="Q252">
            <v>131.7291769083005</v>
          </cell>
          <cell r="R252">
            <v>886.91737705192645</v>
          </cell>
          <cell r="S252">
            <v>86.315437462834495</v>
          </cell>
          <cell r="T252">
            <v>384.53960000000001</v>
          </cell>
          <cell r="U252">
            <v>86.472600000000014</v>
          </cell>
          <cell r="V252">
            <v>129.23949999999999</v>
          </cell>
          <cell r="Z252">
            <v>25.049399999999999</v>
          </cell>
          <cell r="AA252">
            <v>0</v>
          </cell>
          <cell r="AB252">
            <v>29.178636570411395</v>
          </cell>
          <cell r="AE252">
            <v>0</v>
          </cell>
          <cell r="DO252">
            <v>252</v>
          </cell>
        </row>
        <row r="253">
          <cell r="A253" t="str">
            <v>Ocean City, NJ Metro Area</v>
          </cell>
          <cell r="B253">
            <v>4680.9158965633533</v>
          </cell>
          <cell r="C253">
            <v>1679.9981622443338</v>
          </cell>
          <cell r="D253">
            <v>1130.5146</v>
          </cell>
          <cell r="F253">
            <v>358.85740591517856</v>
          </cell>
          <cell r="I253">
            <v>300.53730000000002</v>
          </cell>
          <cell r="K253">
            <v>96.824700000000007</v>
          </cell>
          <cell r="M253">
            <v>974.52020000000005</v>
          </cell>
          <cell r="N253">
            <v>187.94839999999999</v>
          </cell>
          <cell r="O253">
            <v>308.2124</v>
          </cell>
          <cell r="Q253">
            <v>134.96551533168665</v>
          </cell>
          <cell r="T253">
            <v>619.63469999999995</v>
          </cell>
          <cell r="U253">
            <v>416.96137534619749</v>
          </cell>
          <cell r="X253">
            <v>2305.7716</v>
          </cell>
          <cell r="Y253">
            <v>1645.0020580645162</v>
          </cell>
          <cell r="Z253">
            <v>2660.3906703585658</v>
          </cell>
          <cell r="AA253">
            <v>2883.9978999999998</v>
          </cell>
          <cell r="AB253">
            <v>1828.9719986924295</v>
          </cell>
          <cell r="AC253">
            <v>665.90120000000002</v>
          </cell>
          <cell r="AD253">
            <v>2028.4816526432944</v>
          </cell>
          <cell r="AE253">
            <v>1539.6186</v>
          </cell>
          <cell r="AF253">
            <v>391.6551</v>
          </cell>
          <cell r="DO253">
            <v>253</v>
          </cell>
        </row>
        <row r="254">
          <cell r="A254" t="str">
            <v>Odessa, TX Metro Area</v>
          </cell>
          <cell r="B254">
            <v>3943.2255464024879</v>
          </cell>
          <cell r="C254">
            <v>4059.1863825489713</v>
          </cell>
          <cell r="D254">
            <v>3433.4683991631796</v>
          </cell>
          <cell r="E254">
            <v>1453.674985027533</v>
          </cell>
          <cell r="F254">
            <v>3421.5293000000001</v>
          </cell>
          <cell r="G254">
            <v>539.03418198942495</v>
          </cell>
          <cell r="H254">
            <v>306.55895380616414</v>
          </cell>
          <cell r="J254">
            <v>231.13980000000001</v>
          </cell>
          <cell r="DO254">
            <v>254</v>
          </cell>
        </row>
        <row r="255">
          <cell r="A255" t="str">
            <v>Ogden-Clearfield, UT Metro Area</v>
          </cell>
          <cell r="B255">
            <v>6998.2886184742647</v>
          </cell>
          <cell r="C255">
            <v>4641.3158520228571</v>
          </cell>
          <cell r="D255">
            <v>3075.7207323591465</v>
          </cell>
          <cell r="E255">
            <v>3732.6840479961074</v>
          </cell>
          <cell r="F255">
            <v>2810.3572807909272</v>
          </cell>
          <cell r="G255">
            <v>2248.7176868763377</v>
          </cell>
          <cell r="H255">
            <v>3456.4029098483475</v>
          </cell>
          <cell r="I255">
            <v>1952.6472546375592</v>
          </cell>
          <cell r="J255">
            <v>2849.1417851614456</v>
          </cell>
          <cell r="K255">
            <v>2990.7919801874209</v>
          </cell>
          <cell r="L255">
            <v>2169.2727980691634</v>
          </cell>
          <cell r="M255">
            <v>2534.1612707845579</v>
          </cell>
          <cell r="N255">
            <v>1732.1296301807802</v>
          </cell>
          <cell r="O255">
            <v>1801.1864608128706</v>
          </cell>
          <cell r="P255">
            <v>4863.8526000000002</v>
          </cell>
          <cell r="Q255">
            <v>1945.6031</v>
          </cell>
          <cell r="R255">
            <v>400.83397342076768</v>
          </cell>
          <cell r="S255">
            <v>147.58206241633775</v>
          </cell>
          <cell r="U255">
            <v>681.90940000000001</v>
          </cell>
          <cell r="V255">
            <v>1145.4392</v>
          </cell>
          <cell r="W255">
            <v>3556.8413630367422</v>
          </cell>
          <cell r="X255">
            <v>5383.3243000000002</v>
          </cell>
          <cell r="Y255">
            <v>2940.8122750378611</v>
          </cell>
          <cell r="Z255">
            <v>2893.9376853920885</v>
          </cell>
          <cell r="AA255">
            <v>3802.423189397547</v>
          </cell>
          <cell r="AB255">
            <v>2325.5677034382807</v>
          </cell>
          <cell r="DO255">
            <v>255</v>
          </cell>
        </row>
        <row r="256">
          <cell r="A256" t="str">
            <v>Oklahoma City, OK Metro Area</v>
          </cell>
          <cell r="B256">
            <v>5749.2382857927669</v>
          </cell>
          <cell r="C256">
            <v>3862.1514450966561</v>
          </cell>
          <cell r="D256">
            <v>4610.9943807653181</v>
          </cell>
          <cell r="E256">
            <v>4305.0623673548789</v>
          </cell>
          <cell r="F256">
            <v>3953.4822717304987</v>
          </cell>
          <cell r="G256">
            <v>3809.5248543808721</v>
          </cell>
          <cell r="H256">
            <v>3689.2310963374125</v>
          </cell>
          <cell r="I256">
            <v>3366.394914126628</v>
          </cell>
          <cell r="J256">
            <v>3713.7262973515039</v>
          </cell>
          <cell r="K256">
            <v>2431.5586264187523</v>
          </cell>
          <cell r="L256">
            <v>2767.6281334094865</v>
          </cell>
          <cell r="M256">
            <v>1951.7797153525621</v>
          </cell>
          <cell r="N256">
            <v>3153.1087849691817</v>
          </cell>
          <cell r="O256">
            <v>2354.1401949977931</v>
          </cell>
          <cell r="P256">
            <v>723.37905141845692</v>
          </cell>
          <cell r="Q256">
            <v>904.64047427402875</v>
          </cell>
          <cell r="R256">
            <v>2098.022018450265</v>
          </cell>
          <cell r="S256">
            <v>1643.2392647213212</v>
          </cell>
          <cell r="T256">
            <v>4117.9017175969539</v>
          </cell>
          <cell r="U256">
            <v>1752.6266658100672</v>
          </cell>
          <cell r="V256">
            <v>358.86484135254159</v>
          </cell>
          <cell r="W256">
            <v>176.10771377769504</v>
          </cell>
          <cell r="Y256">
            <v>229.18643713769245</v>
          </cell>
          <cell r="Z256">
            <v>500.47029660756726</v>
          </cell>
          <cell r="AA256">
            <v>2858.8441486902511</v>
          </cell>
          <cell r="AC256">
            <v>67.556179615879216</v>
          </cell>
          <cell r="AD256">
            <v>522.44989999999996</v>
          </cell>
          <cell r="AE256">
            <v>429.51392180921448</v>
          </cell>
          <cell r="AG256">
            <v>24.832699999999999</v>
          </cell>
          <cell r="AH256">
            <v>381.96209999999996</v>
          </cell>
          <cell r="AI256">
            <v>86.964398119057464</v>
          </cell>
          <cell r="AK256">
            <v>15.968899999999998</v>
          </cell>
          <cell r="AL256">
            <v>206.66909999999999</v>
          </cell>
          <cell r="AM256">
            <v>1303.8523</v>
          </cell>
          <cell r="AN256">
            <v>624.71708028019543</v>
          </cell>
          <cell r="AO256">
            <v>432.89777246611538</v>
          </cell>
          <cell r="AQ256">
            <v>32.381465664107687</v>
          </cell>
          <cell r="AR256">
            <v>27.993600000000001</v>
          </cell>
          <cell r="AU256">
            <v>37.013800000000003</v>
          </cell>
          <cell r="AV256">
            <v>15.160337148047232</v>
          </cell>
          <cell r="BB256">
            <v>27.598400000000002</v>
          </cell>
          <cell r="DO256">
            <v>256</v>
          </cell>
        </row>
        <row r="257">
          <cell r="A257" t="str">
            <v>Olympia, WA Metro Area</v>
          </cell>
          <cell r="B257">
            <v>3005.7723730524253</v>
          </cell>
          <cell r="C257">
            <v>3132.6422310536614</v>
          </cell>
          <cell r="D257">
            <v>2277.3786329996979</v>
          </cell>
          <cell r="E257">
            <v>1596.0915909797754</v>
          </cell>
          <cell r="F257">
            <v>2512.1263657805393</v>
          </cell>
          <cell r="G257">
            <v>2823.7471317001455</v>
          </cell>
          <cell r="H257">
            <v>1436.7734996720076</v>
          </cell>
          <cell r="I257">
            <v>395.63107522490202</v>
          </cell>
          <cell r="J257">
            <v>129.92117847991523</v>
          </cell>
          <cell r="L257">
            <v>114.5645</v>
          </cell>
          <cell r="O257">
            <v>149.10120000000001</v>
          </cell>
          <cell r="P257">
            <v>505.58078478901706</v>
          </cell>
          <cell r="Q257">
            <v>328.9944056573276</v>
          </cell>
          <cell r="R257">
            <v>140.06909999999999</v>
          </cell>
          <cell r="S257">
            <v>213.66050000000004</v>
          </cell>
          <cell r="T257">
            <v>73.192499999999995</v>
          </cell>
          <cell r="Z257">
            <v>59.584499999999998</v>
          </cell>
          <cell r="DO257">
            <v>257</v>
          </cell>
        </row>
        <row r="258">
          <cell r="A258" t="str">
            <v>Omaha-Council Bluffs, NE-IA Metro Area</v>
          </cell>
          <cell r="B258">
            <v>7048.2364903285843</v>
          </cell>
          <cell r="C258">
            <v>6179.0464261478273</v>
          </cell>
          <cell r="D258">
            <v>5145.3533282030976</v>
          </cell>
          <cell r="E258">
            <v>4331.4722022737069</v>
          </cell>
          <cell r="F258">
            <v>4377.5644131754489</v>
          </cell>
          <cell r="G258">
            <v>2828.3846652751195</v>
          </cell>
          <cell r="H258">
            <v>3127.6382230371896</v>
          </cell>
          <cell r="I258">
            <v>2862.3916921008531</v>
          </cell>
          <cell r="J258">
            <v>3278.8455312968977</v>
          </cell>
          <cell r="K258">
            <v>2996.3673474197694</v>
          </cell>
          <cell r="L258">
            <v>2919.7740891051967</v>
          </cell>
          <cell r="M258">
            <v>3637.4393202991419</v>
          </cell>
          <cell r="N258">
            <v>4382.8471238945021</v>
          </cell>
          <cell r="O258">
            <v>2096.3915649157234</v>
          </cell>
          <cell r="P258">
            <v>1285.1272164387615</v>
          </cell>
          <cell r="Q258">
            <v>218.91019854969934</v>
          </cell>
          <cell r="R258">
            <v>140.56937427987481</v>
          </cell>
          <cell r="S258">
            <v>517.66902951666543</v>
          </cell>
          <cell r="T258">
            <v>164.51367811901378</v>
          </cell>
          <cell r="U258">
            <v>31.949200000000001</v>
          </cell>
          <cell r="V258">
            <v>17.786799999999999</v>
          </cell>
          <cell r="W258">
            <v>286.88352166538164</v>
          </cell>
          <cell r="X258">
            <v>263.42033682493656</v>
          </cell>
          <cell r="Y258">
            <v>13.0059</v>
          </cell>
          <cell r="Z258">
            <v>39.738799999999998</v>
          </cell>
          <cell r="AA258">
            <v>19.621700000000001</v>
          </cell>
          <cell r="AB258">
            <v>21.161899999999999</v>
          </cell>
          <cell r="AC258">
            <v>72.510098263274344</v>
          </cell>
          <cell r="AE258">
            <v>17.096758761904759</v>
          </cell>
          <cell r="AH258">
            <v>21.9496</v>
          </cell>
          <cell r="AI258">
            <v>21.745100000000001</v>
          </cell>
          <cell r="AJ258">
            <v>34.456000000000003</v>
          </cell>
          <cell r="AK258">
            <v>198.7022</v>
          </cell>
          <cell r="AL258">
            <v>29.243700000000004</v>
          </cell>
          <cell r="AP258">
            <v>13.756200000000002</v>
          </cell>
          <cell r="AR258">
            <v>15.0776</v>
          </cell>
          <cell r="DO258">
            <v>258</v>
          </cell>
        </row>
        <row r="259">
          <cell r="A259" t="str">
            <v>Orlando-Kissimmee-Sanford, FL Metro Area</v>
          </cell>
          <cell r="B259">
            <v>5231.1338402834126</v>
          </cell>
          <cell r="C259">
            <v>3570.9206797847592</v>
          </cell>
          <cell r="D259">
            <v>4209.8877431711398</v>
          </cell>
          <cell r="E259">
            <v>4982.087030512921</v>
          </cell>
          <cell r="F259">
            <v>6086.7064382280323</v>
          </cell>
          <cell r="G259">
            <v>4768.1822073709955</v>
          </cell>
          <cell r="H259">
            <v>3919.8438512401463</v>
          </cell>
          <cell r="I259">
            <v>3676.8286935819351</v>
          </cell>
          <cell r="J259">
            <v>3070.5937673309372</v>
          </cell>
          <cell r="K259">
            <v>2760.938849063853</v>
          </cell>
          <cell r="L259">
            <v>3392.7645572967426</v>
          </cell>
          <cell r="M259">
            <v>2203.9744848896762</v>
          </cell>
          <cell r="N259">
            <v>2382.0881755673167</v>
          </cell>
          <cell r="O259">
            <v>2147.0383608332172</v>
          </cell>
          <cell r="P259">
            <v>2878.0081470968762</v>
          </cell>
          <cell r="Q259">
            <v>3246.714528646899</v>
          </cell>
          <cell r="R259">
            <v>1518.5386902350112</v>
          </cell>
          <cell r="S259">
            <v>1412.4603204881289</v>
          </cell>
          <cell r="T259">
            <v>1218.6798261616805</v>
          </cell>
          <cell r="U259">
            <v>2004.6710517160043</v>
          </cell>
          <cell r="V259">
            <v>1738.9980929247872</v>
          </cell>
          <cell r="W259">
            <v>291.87282393533627</v>
          </cell>
          <cell r="X259">
            <v>1397.7253392872381</v>
          </cell>
          <cell r="Y259">
            <v>1539.9950862594296</v>
          </cell>
          <cell r="Z259">
            <v>937.21189278227735</v>
          </cell>
          <cell r="AA259">
            <v>527.56697139249638</v>
          </cell>
          <cell r="AB259">
            <v>983.8367238335137</v>
          </cell>
          <cell r="AC259">
            <v>1319.3233025145432</v>
          </cell>
          <cell r="AD259">
            <v>785.72612874177378</v>
          </cell>
          <cell r="AE259">
            <v>1120.2752</v>
          </cell>
          <cell r="AF259">
            <v>103.9207</v>
          </cell>
          <cell r="AG259">
            <v>578.5685151750265</v>
          </cell>
          <cell r="AH259">
            <v>573.92912992920662</v>
          </cell>
          <cell r="AI259">
            <v>494.20359999999999</v>
          </cell>
          <cell r="AK259">
            <v>1015.0456853277482</v>
          </cell>
          <cell r="AL259">
            <v>1198.1791020497403</v>
          </cell>
          <cell r="AN259">
            <v>829.1273997066146</v>
          </cell>
          <cell r="AO259">
            <v>737.25810000000001</v>
          </cell>
          <cell r="AP259">
            <v>149.24930455772113</v>
          </cell>
          <cell r="AQ259">
            <v>590.28271946807229</v>
          </cell>
          <cell r="AS259">
            <v>1517.6276000000003</v>
          </cell>
          <cell r="AT259">
            <v>2232.8035</v>
          </cell>
          <cell r="DO259">
            <v>259</v>
          </cell>
        </row>
        <row r="260">
          <cell r="A260" t="str">
            <v>Oshkosh-Neenah, WI Metro Area</v>
          </cell>
          <cell r="B260">
            <v>7693.0744812434741</v>
          </cell>
          <cell r="C260">
            <v>3222.2672388824058</v>
          </cell>
          <cell r="E260">
            <v>1002.6179975253453</v>
          </cell>
          <cell r="G260">
            <v>108.9953</v>
          </cell>
          <cell r="J260">
            <v>98.663599999999988</v>
          </cell>
          <cell r="K260">
            <v>563.51869999999997</v>
          </cell>
          <cell r="L260">
            <v>1944.7586719408978</v>
          </cell>
          <cell r="M260">
            <v>3183.523290179362</v>
          </cell>
          <cell r="N260">
            <v>3270.6184738743596</v>
          </cell>
          <cell r="O260">
            <v>1852.0882003382378</v>
          </cell>
          <cell r="P260">
            <v>2354.0320359345083</v>
          </cell>
          <cell r="Q260">
            <v>2229.6632184656437</v>
          </cell>
          <cell r="R260">
            <v>3568.9791000000005</v>
          </cell>
          <cell r="DO260">
            <v>260</v>
          </cell>
        </row>
        <row r="261">
          <cell r="A261" t="str">
            <v>Owensboro, KY Metro Area</v>
          </cell>
          <cell r="B261">
            <v>2574.1129377086395</v>
          </cell>
          <cell r="C261">
            <v>3169.7168922720161</v>
          </cell>
          <cell r="D261">
            <v>3195.77597470505</v>
          </cell>
          <cell r="E261">
            <v>607.84733682725391</v>
          </cell>
          <cell r="F261">
            <v>291.30373868906526</v>
          </cell>
          <cell r="G261">
            <v>318.01420000000002</v>
          </cell>
          <cell r="J261">
            <v>67.799300637716371</v>
          </cell>
          <cell r="K261">
            <v>60.267845835502349</v>
          </cell>
          <cell r="M261">
            <v>72.796700000000001</v>
          </cell>
          <cell r="R261">
            <v>45.57368051966904</v>
          </cell>
          <cell r="S261">
            <v>69.154499999999999</v>
          </cell>
          <cell r="U261">
            <v>28.196100000000001</v>
          </cell>
          <cell r="V261">
            <v>59.353700000000003</v>
          </cell>
          <cell r="Z261">
            <v>35.758899999999997</v>
          </cell>
          <cell r="DO261">
            <v>261</v>
          </cell>
        </row>
        <row r="262">
          <cell r="A262" t="str">
            <v>Oxnard-Thousand Oaks-Ventura, CA Metro Area</v>
          </cell>
          <cell r="B262">
            <v>11944.7977214737</v>
          </cell>
          <cell r="C262">
            <v>10404.884795219123</v>
          </cell>
          <cell r="D262">
            <v>9482.3556680657039</v>
          </cell>
          <cell r="E262">
            <v>11210.423153631486</v>
          </cell>
          <cell r="F262">
            <v>6457.6854421858106</v>
          </cell>
          <cell r="G262">
            <v>5913.9220451263682</v>
          </cell>
          <cell r="H262">
            <v>1648.4242379507248</v>
          </cell>
          <cell r="I262">
            <v>5189.9419513048533</v>
          </cell>
          <cell r="J262">
            <v>3456.3713153094232</v>
          </cell>
          <cell r="K262">
            <v>4053.677981155925</v>
          </cell>
          <cell r="L262">
            <v>3587.2372017137213</v>
          </cell>
          <cell r="M262">
            <v>5459.1096374396539</v>
          </cell>
          <cell r="N262">
            <v>4612.3660751815505</v>
          </cell>
          <cell r="O262">
            <v>2793.3056167094273</v>
          </cell>
          <cell r="P262">
            <v>1350.4082346195069</v>
          </cell>
          <cell r="Q262">
            <v>2374.2723983909227</v>
          </cell>
          <cell r="R262">
            <v>1411.8296075334795</v>
          </cell>
          <cell r="S262">
            <v>3643.7871782679504</v>
          </cell>
          <cell r="T262">
            <v>2939.0844055155112</v>
          </cell>
          <cell r="U262">
            <v>3403.406873996797</v>
          </cell>
          <cell r="V262">
            <v>1079.663152493835</v>
          </cell>
          <cell r="W262">
            <v>1878.0919716689405</v>
          </cell>
          <cell r="X262">
            <v>1896.2923041204851</v>
          </cell>
          <cell r="Y262">
            <v>4696.5258758779619</v>
          </cell>
          <cell r="Z262">
            <v>5054.5578160031482</v>
          </cell>
          <cell r="AA262">
            <v>5890.6550483674482</v>
          </cell>
          <cell r="AB262">
            <v>3159.2062942904713</v>
          </cell>
          <cell r="AC262">
            <v>3527.6846874749631</v>
          </cell>
          <cell r="AD262">
            <v>4379.0163107203134</v>
          </cell>
          <cell r="AE262">
            <v>4310.1013164816459</v>
          </cell>
          <cell r="AF262">
            <v>0.89119999999999999</v>
          </cell>
          <cell r="BQ262">
            <v>2.4735999999999998</v>
          </cell>
          <cell r="DO262">
            <v>262</v>
          </cell>
        </row>
        <row r="263">
          <cell r="A263" t="str">
            <v>Palm Bay-Melbourne-Titusville, FL Metro Area</v>
          </cell>
          <cell r="C263">
            <v>2069.7064754661333</v>
          </cell>
          <cell r="D263">
            <v>1626.5261848650762</v>
          </cell>
          <cell r="E263">
            <v>1820.1651399253296</v>
          </cell>
          <cell r="F263">
            <v>2675.9020061509568</v>
          </cell>
          <cell r="G263">
            <v>2031.8988519134205</v>
          </cell>
          <cell r="H263">
            <v>1209.9860449846578</v>
          </cell>
          <cell r="I263">
            <v>1786.1695390444806</v>
          </cell>
          <cell r="J263">
            <v>3581.2978103287337</v>
          </cell>
          <cell r="K263">
            <v>2966.0264443550586</v>
          </cell>
          <cell r="L263">
            <v>2837.4441463492199</v>
          </cell>
          <cell r="M263">
            <v>3444.3257130248126</v>
          </cell>
          <cell r="N263">
            <v>2710.7019364362081</v>
          </cell>
          <cell r="O263">
            <v>1830.8035304246353</v>
          </cell>
          <cell r="P263">
            <v>2737.879211041678</v>
          </cell>
          <cell r="S263">
            <v>2225.6919269859</v>
          </cell>
          <cell r="U263">
            <v>1615.7284</v>
          </cell>
          <cell r="V263">
            <v>1215.876</v>
          </cell>
          <cell r="W263">
            <v>1879.133625309579</v>
          </cell>
          <cell r="X263">
            <v>3019.8696648385603</v>
          </cell>
          <cell r="Y263">
            <v>2330.1151081197318</v>
          </cell>
          <cell r="Z263">
            <v>2139.7215930702196</v>
          </cell>
          <cell r="AA263">
            <v>1970.7506760620656</v>
          </cell>
          <cell r="AB263">
            <v>2293.0101958981995</v>
          </cell>
          <cell r="AC263">
            <v>2741.5589365584665</v>
          </cell>
          <cell r="AD263">
            <v>0.27839999999999998</v>
          </cell>
          <cell r="AE263">
            <v>726.51319999999998</v>
          </cell>
          <cell r="AF263">
            <v>431.04954525950319</v>
          </cell>
          <cell r="AH263">
            <v>1561.954</v>
          </cell>
          <cell r="AI263">
            <v>1685.4199113645227</v>
          </cell>
          <cell r="AJ263">
            <v>3355.7969999999996</v>
          </cell>
          <cell r="AM263">
            <v>297.5745</v>
          </cell>
          <cell r="AO263">
            <v>1265.1541999999999</v>
          </cell>
          <cell r="AP263">
            <v>2543.8620436947267</v>
          </cell>
          <cell r="AQ263">
            <v>2586.3384227809479</v>
          </cell>
          <cell r="AR263">
            <v>2669.5022698500302</v>
          </cell>
          <cell r="AS263">
            <v>1580.2808</v>
          </cell>
          <cell r="AT263">
            <v>841.28138203557535</v>
          </cell>
          <cell r="AU263">
            <v>945.20159999999987</v>
          </cell>
          <cell r="AV263">
            <v>1163.5781999999999</v>
          </cell>
          <cell r="AY263">
            <v>0</v>
          </cell>
          <cell r="AZ263">
            <v>296.54273952095809</v>
          </cell>
          <cell r="DO263">
            <v>263</v>
          </cell>
        </row>
        <row r="264">
          <cell r="A264" t="str">
            <v>Palm Coast, FL Metro Area</v>
          </cell>
          <cell r="C264">
            <v>2131.7340156709311</v>
          </cell>
          <cell r="D264">
            <v>1838.0952806418502</v>
          </cell>
          <cell r="E264">
            <v>863.85273716362769</v>
          </cell>
          <cell r="F264">
            <v>626.88909787234047</v>
          </cell>
          <cell r="J264">
            <v>623.0085148579816</v>
          </cell>
          <cell r="K264">
            <v>48.175500000000007</v>
          </cell>
          <cell r="M264">
            <v>17.917200000000001</v>
          </cell>
          <cell r="DO264">
            <v>264</v>
          </cell>
        </row>
        <row r="265">
          <cell r="A265" t="str">
            <v>Panama City-Lynn Haven-Panama City Beach, FL Metro Area</v>
          </cell>
          <cell r="C265">
            <v>2408.2576197716844</v>
          </cell>
          <cell r="D265">
            <v>2240.6128342966981</v>
          </cell>
          <cell r="E265">
            <v>1778.0170012213375</v>
          </cell>
          <cell r="F265">
            <v>1544.0330340407791</v>
          </cell>
          <cell r="G265">
            <v>1910.6798889655736</v>
          </cell>
          <cell r="H265">
            <v>2401.1915302025686</v>
          </cell>
          <cell r="I265">
            <v>374.56744736063149</v>
          </cell>
          <cell r="J265">
            <v>932.51589999999999</v>
          </cell>
          <cell r="K265">
            <v>64.883799999999994</v>
          </cell>
          <cell r="L265">
            <v>638.85289999999998</v>
          </cell>
          <cell r="M265">
            <v>287.3415</v>
          </cell>
          <cell r="O265">
            <v>805.63400000000001</v>
          </cell>
          <cell r="Q265">
            <v>389.13041622915154</v>
          </cell>
          <cell r="T265">
            <v>641.53340000000003</v>
          </cell>
          <cell r="V265">
            <v>51.069099999999999</v>
          </cell>
          <cell r="W265">
            <v>51.378500000000003</v>
          </cell>
          <cell r="DO265">
            <v>265</v>
          </cell>
        </row>
        <row r="266">
          <cell r="A266" t="str">
            <v>Parkersburg-Marietta-Vienna, WV-OH Metro Area</v>
          </cell>
          <cell r="B266">
            <v>3329.1370000000006</v>
          </cell>
          <cell r="C266">
            <v>3414.3615507703712</v>
          </cell>
          <cell r="D266">
            <v>1817.4096416117009</v>
          </cell>
          <cell r="E266">
            <v>1877.5592925938117</v>
          </cell>
          <cell r="F266">
            <v>276.01429999999999</v>
          </cell>
          <cell r="G266">
            <v>764.14898624218961</v>
          </cell>
          <cell r="H266">
            <v>85.719540924541135</v>
          </cell>
          <cell r="I266">
            <v>168.3912</v>
          </cell>
          <cell r="J266">
            <v>197.40039999999999</v>
          </cell>
          <cell r="L266">
            <v>72.498343363994749</v>
          </cell>
          <cell r="M266">
            <v>1126.4714983917704</v>
          </cell>
          <cell r="N266">
            <v>1571.067824417712</v>
          </cell>
          <cell r="O266">
            <v>828.0421</v>
          </cell>
          <cell r="P266">
            <v>99.159099999999995</v>
          </cell>
          <cell r="Q266">
            <v>130.63650000000001</v>
          </cell>
          <cell r="S266">
            <v>33.193040768251279</v>
          </cell>
          <cell r="T266">
            <v>78.640699999999995</v>
          </cell>
          <cell r="V266">
            <v>60.8703</v>
          </cell>
          <cell r="Y266">
            <v>31.130500000000001</v>
          </cell>
          <cell r="Z266">
            <v>44.644100000000002</v>
          </cell>
          <cell r="DO266">
            <v>266</v>
          </cell>
        </row>
        <row r="267">
          <cell r="A267" t="str">
            <v>Pascagoula, MS Metro Area</v>
          </cell>
          <cell r="B267">
            <v>63.591200000000008</v>
          </cell>
          <cell r="C267">
            <v>2759.6220027245727</v>
          </cell>
          <cell r="D267">
            <v>2129.8364065754099</v>
          </cell>
          <cell r="E267">
            <v>1760.2217024745669</v>
          </cell>
          <cell r="F267">
            <v>1144.3749</v>
          </cell>
          <cell r="G267">
            <v>919.01499468172153</v>
          </cell>
          <cell r="H267">
            <v>21.801300000000001</v>
          </cell>
          <cell r="I267">
            <v>216.27310000000003</v>
          </cell>
          <cell r="J267">
            <v>194.2492</v>
          </cell>
          <cell r="L267">
            <v>567.22249999999997</v>
          </cell>
          <cell r="N267">
            <v>953.69780000000014</v>
          </cell>
          <cell r="P267">
            <v>1920.2625</v>
          </cell>
          <cell r="R267">
            <v>397.612868880934</v>
          </cell>
          <cell r="S267">
            <v>71.228597616622523</v>
          </cell>
          <cell r="U267">
            <v>1127.0569680156293</v>
          </cell>
          <cell r="AG267">
            <v>55.401199999999996</v>
          </cell>
          <cell r="AH267">
            <v>36.650799999999997</v>
          </cell>
          <cell r="AN267">
            <v>510.91090000000003</v>
          </cell>
          <cell r="AO267">
            <v>43.090296156893821</v>
          </cell>
          <cell r="DO267">
            <v>267</v>
          </cell>
        </row>
        <row r="268">
          <cell r="A268" t="str">
            <v>Pensacola-Ferry Pass-Brent, FL Metro Area</v>
          </cell>
          <cell r="B268">
            <v>1742.6187</v>
          </cell>
          <cell r="C268">
            <v>2795.1697050535117</v>
          </cell>
          <cell r="D268">
            <v>2897.7459824043372</v>
          </cell>
          <cell r="E268">
            <v>2759.4677097547378</v>
          </cell>
          <cell r="F268">
            <v>2251.5128800295211</v>
          </cell>
          <cell r="G268">
            <v>2174.848409265891</v>
          </cell>
          <cell r="H268">
            <v>2259.1905613800955</v>
          </cell>
          <cell r="I268">
            <v>2129.2680181966148</v>
          </cell>
          <cell r="J268">
            <v>1113.8249171309299</v>
          </cell>
          <cell r="K268">
            <v>1516.6163862929261</v>
          </cell>
          <cell r="L268">
            <v>787.62235431751742</v>
          </cell>
          <cell r="M268">
            <v>1456.5539582181261</v>
          </cell>
          <cell r="N268">
            <v>350.60680079344087</v>
          </cell>
          <cell r="O268">
            <v>629.04675114848806</v>
          </cell>
          <cell r="P268">
            <v>812.57165932844634</v>
          </cell>
          <cell r="Q268">
            <v>409.28730104101732</v>
          </cell>
          <cell r="S268">
            <v>697.54812346963604</v>
          </cell>
          <cell r="T268">
            <v>818.87219651982969</v>
          </cell>
          <cell r="U268">
            <v>223.68529999999998</v>
          </cell>
          <cell r="V268">
            <v>531.42251385365023</v>
          </cell>
          <cell r="X268">
            <v>1174.0035</v>
          </cell>
          <cell r="Y268">
            <v>106.6601</v>
          </cell>
          <cell r="Z268">
            <v>32.588500000000003</v>
          </cell>
          <cell r="AE268">
            <v>23.654699999999998</v>
          </cell>
          <cell r="AG268">
            <v>32.518500000000003</v>
          </cell>
          <cell r="AJ268">
            <v>20.498569407452656</v>
          </cell>
          <cell r="AO268">
            <v>132.256</v>
          </cell>
          <cell r="DO268">
            <v>268</v>
          </cell>
        </row>
        <row r="269">
          <cell r="A269" t="str">
            <v>Peoria, IL Metro Area</v>
          </cell>
          <cell r="B269">
            <v>3198.7708318454365</v>
          </cell>
          <cell r="C269">
            <v>4755.3458806871604</v>
          </cell>
          <cell r="D269">
            <v>4468.8490466599087</v>
          </cell>
          <cell r="E269">
            <v>1759.5800236294192</v>
          </cell>
          <cell r="F269">
            <v>1722.8957791812174</v>
          </cell>
          <cell r="G269">
            <v>1504.920522754491</v>
          </cell>
          <cell r="H269">
            <v>288.18768614853195</v>
          </cell>
          <cell r="I269">
            <v>809.09135134986241</v>
          </cell>
          <cell r="J269">
            <v>1299.4135070361388</v>
          </cell>
          <cell r="K269">
            <v>2720.9208797493106</v>
          </cell>
          <cell r="L269">
            <v>1170.3018052132029</v>
          </cell>
          <cell r="M269">
            <v>312.9067</v>
          </cell>
          <cell r="N269">
            <v>78.131292447001172</v>
          </cell>
          <cell r="O269">
            <v>170.35585671131949</v>
          </cell>
          <cell r="P269">
            <v>63.394399999999997</v>
          </cell>
          <cell r="R269">
            <v>371.19015051563542</v>
          </cell>
          <cell r="S269">
            <v>42.742566337078642</v>
          </cell>
          <cell r="U269">
            <v>31.147153484618304</v>
          </cell>
          <cell r="V269">
            <v>45.8431</v>
          </cell>
          <cell r="X269">
            <v>37.577817921830317</v>
          </cell>
          <cell r="Z269">
            <v>36.181627628032345</v>
          </cell>
          <cell r="AB269">
            <v>17.061900000000001</v>
          </cell>
          <cell r="AE269">
            <v>49.776600000000002</v>
          </cell>
          <cell r="AF269">
            <v>25.091200000000001</v>
          </cell>
          <cell r="AG269">
            <v>267.30458164888807</v>
          </cell>
          <cell r="AH269">
            <v>25.345099999999999</v>
          </cell>
          <cell r="AI269">
            <v>29.814799999999998</v>
          </cell>
          <cell r="DO269">
            <v>269</v>
          </cell>
        </row>
        <row r="270">
          <cell r="A270" t="str">
            <v>Philadelphia-Camden-Wilmington, PA-NJ-DE-MD Metro Area</v>
          </cell>
          <cell r="B270">
            <v>31939.467884266953</v>
          </cell>
          <cell r="C270">
            <v>26673.372712955588</v>
          </cell>
          <cell r="D270">
            <v>24704.684590210218</v>
          </cell>
          <cell r="E270">
            <v>19959.370875001114</v>
          </cell>
          <cell r="F270">
            <v>17305.902793273675</v>
          </cell>
          <cell r="G270">
            <v>14652.560758143949</v>
          </cell>
          <cell r="H270">
            <v>11861.39131988625</v>
          </cell>
          <cell r="I270">
            <v>13181.480188335086</v>
          </cell>
          <cell r="J270">
            <v>10581.629782157914</v>
          </cell>
          <cell r="K270">
            <v>5838.5313395527646</v>
          </cell>
          <cell r="L270">
            <v>4537.8423488687713</v>
          </cell>
          <cell r="M270">
            <v>4678.402188672545</v>
          </cell>
          <cell r="N270">
            <v>4405.6475856790021</v>
          </cell>
          <cell r="O270">
            <v>4997.1387787395533</v>
          </cell>
          <cell r="P270">
            <v>4400.6252663187925</v>
          </cell>
          <cell r="Q270">
            <v>3929.8268538554225</v>
          </cell>
          <cell r="R270">
            <v>2726.3641299565297</v>
          </cell>
          <cell r="S270">
            <v>2198.4574501104826</v>
          </cell>
          <cell r="T270">
            <v>2331.2430299670523</v>
          </cell>
          <cell r="U270">
            <v>2292.1867459111945</v>
          </cell>
          <cell r="V270">
            <v>2778.2472417150793</v>
          </cell>
          <cell r="W270">
            <v>2327.3639159332688</v>
          </cell>
          <cell r="X270">
            <v>2639.026838356463</v>
          </cell>
          <cell r="Y270">
            <v>3498.528114608755</v>
          </cell>
          <cell r="Z270">
            <v>3262.5947320120931</v>
          </cell>
          <cell r="AA270">
            <v>5707.5343303754962</v>
          </cell>
          <cell r="AB270">
            <v>2279.5869114135485</v>
          </cell>
          <cell r="AC270">
            <v>2183.0083318410457</v>
          </cell>
          <cell r="AD270">
            <v>1441.778415564753</v>
          </cell>
          <cell r="AE270">
            <v>1895.8652334739108</v>
          </cell>
          <cell r="AF270">
            <v>1781.6399486116352</v>
          </cell>
          <cell r="AG270">
            <v>1679.205078796535</v>
          </cell>
          <cell r="AH270">
            <v>2869.3212475871951</v>
          </cell>
          <cell r="AI270">
            <v>2299.8431842040459</v>
          </cell>
          <cell r="AJ270">
            <v>2744.7429303773924</v>
          </cell>
          <cell r="AK270">
            <v>2762.2906997789087</v>
          </cell>
          <cell r="AL270">
            <v>2016.3294616058827</v>
          </cell>
          <cell r="AM270">
            <v>1732.0765387309898</v>
          </cell>
          <cell r="AN270">
            <v>1033.9317103073233</v>
          </cell>
          <cell r="AO270">
            <v>592.63638144720562</v>
          </cell>
          <cell r="AP270">
            <v>1145.391766823233</v>
          </cell>
          <cell r="AQ270">
            <v>1399.2369824962705</v>
          </cell>
          <cell r="AR270">
            <v>633.82678115949716</v>
          </cell>
          <cell r="AS270">
            <v>371.60077956873312</v>
          </cell>
          <cell r="AT270">
            <v>1171.1451213531752</v>
          </cell>
          <cell r="AV270">
            <v>220.46367633726203</v>
          </cell>
          <cell r="AW270">
            <v>463.78280000000001</v>
          </cell>
          <cell r="AX270">
            <v>264.39226972863088</v>
          </cell>
          <cell r="AY270">
            <v>244.9390754161067</v>
          </cell>
          <cell r="AZ270">
            <v>107.67359999999999</v>
          </cell>
          <cell r="BA270">
            <v>410.95580000000001</v>
          </cell>
          <cell r="BB270">
            <v>273.24419999999998</v>
          </cell>
          <cell r="BD270">
            <v>356.91455183252214</v>
          </cell>
          <cell r="BE270">
            <v>259.62</v>
          </cell>
          <cell r="DO270">
            <v>270</v>
          </cell>
        </row>
        <row r="271">
          <cell r="A271" t="str">
            <v>Phoenix-Mesa-Glendale, AZ Metro Area</v>
          </cell>
          <cell r="B271">
            <v>4522.3371529008282</v>
          </cell>
          <cell r="C271">
            <v>3934.0559201035671</v>
          </cell>
          <cell r="D271">
            <v>5288.9744976076208</v>
          </cell>
          <cell r="E271">
            <v>7401.4544125699322</v>
          </cell>
          <cell r="F271">
            <v>7053.1099006799423</v>
          </cell>
          <cell r="G271">
            <v>6273.9831363418998</v>
          </cell>
          <cell r="H271">
            <v>6729.8479286857928</v>
          </cell>
          <cell r="I271">
            <v>5211.3205701510951</v>
          </cell>
          <cell r="J271">
            <v>6909.3384049473934</v>
          </cell>
          <cell r="K271">
            <v>5804.0336612772162</v>
          </cell>
          <cell r="L271">
            <v>5178.4413513686868</v>
          </cell>
          <cell r="M271">
            <v>4532.6936109834387</v>
          </cell>
          <cell r="N271">
            <v>5216.4867805322556</v>
          </cell>
          <cell r="O271">
            <v>5698.3758617860531</v>
          </cell>
          <cell r="P271">
            <v>4892.622864379653</v>
          </cell>
          <cell r="Q271">
            <v>4546.3124787783145</v>
          </cell>
          <cell r="R271">
            <v>4703.6738705923899</v>
          </cell>
          <cell r="S271">
            <v>4299.8947486387087</v>
          </cell>
          <cell r="T271">
            <v>3737.5189819074558</v>
          </cell>
          <cell r="U271">
            <v>3541.2014534720402</v>
          </cell>
          <cell r="V271">
            <v>2989.1589048389751</v>
          </cell>
          <cell r="W271">
            <v>2594.4174301840267</v>
          </cell>
          <cell r="X271">
            <v>2697.1846502840549</v>
          </cell>
          <cell r="Y271">
            <v>2732.9958547212873</v>
          </cell>
          <cell r="Z271">
            <v>3074.4553845578621</v>
          </cell>
          <cell r="AA271">
            <v>2348.0718401998106</v>
          </cell>
          <cell r="AB271">
            <v>2801.7734816205198</v>
          </cell>
          <cell r="AC271">
            <v>2504.7674463836775</v>
          </cell>
          <cell r="AD271">
            <v>2006.3110927803937</v>
          </cell>
          <cell r="AE271">
            <v>2232.0135938378971</v>
          </cell>
          <cell r="AF271">
            <v>1456.9282976181858</v>
          </cell>
          <cell r="AG271">
            <v>1052.4938237535157</v>
          </cell>
          <cell r="AH271">
            <v>757.21798997585256</v>
          </cell>
          <cell r="AI271">
            <v>4806.0666159289885</v>
          </cell>
          <cell r="AJ271">
            <v>1378.9883192573948</v>
          </cell>
          <cell r="AK271">
            <v>263.69501888549257</v>
          </cell>
          <cell r="AL271">
            <v>1271.3873870923967</v>
          </cell>
          <cell r="AM271">
            <v>5.8788</v>
          </cell>
          <cell r="AN271">
            <v>1380.03</v>
          </cell>
          <cell r="AO271">
            <v>40.75238170305677</v>
          </cell>
          <cell r="AP271">
            <v>482.9649873726637</v>
          </cell>
          <cell r="AQ271">
            <v>1002.8844682718336</v>
          </cell>
          <cell r="AR271">
            <v>1575.0629851036128</v>
          </cell>
          <cell r="AS271">
            <v>2083.6916358738349</v>
          </cell>
          <cell r="AT271">
            <v>1200.3249986787205</v>
          </cell>
          <cell r="AU271">
            <v>383.59041998811551</v>
          </cell>
          <cell r="AV271">
            <v>238.06950000000001</v>
          </cell>
          <cell r="AW271">
            <v>27.228004626060141</v>
          </cell>
          <cell r="AY271">
            <v>1739.0539815154036</v>
          </cell>
          <cell r="AZ271">
            <v>143.21340000000001</v>
          </cell>
          <cell r="BA271">
            <v>86.770518247126418</v>
          </cell>
          <cell r="BB271">
            <v>612.81849999999997</v>
          </cell>
          <cell r="BC271">
            <v>1061.386711383652</v>
          </cell>
          <cell r="BD271">
            <v>413.12329999999997</v>
          </cell>
          <cell r="BF271">
            <v>1066.7385999999999</v>
          </cell>
          <cell r="BG271">
            <v>60.854963532763527</v>
          </cell>
          <cell r="BM271">
            <v>15.9711</v>
          </cell>
          <cell r="BP271">
            <v>4.3247279210220677</v>
          </cell>
          <cell r="BS271">
            <v>0</v>
          </cell>
          <cell r="BU271">
            <v>6.4184000000000001</v>
          </cell>
          <cell r="CP271">
            <v>9.1672999999999991</v>
          </cell>
          <cell r="CQ271">
            <v>1391.8686</v>
          </cell>
          <cell r="CR271">
            <v>129.28120000000001</v>
          </cell>
          <cell r="CT271">
            <v>3.3683000000000001</v>
          </cell>
          <cell r="CV271">
            <v>171.35820000000001</v>
          </cell>
          <cell r="DO271">
            <v>271</v>
          </cell>
        </row>
        <row r="272">
          <cell r="A272" t="str">
            <v>Pine Bluff, AR Metro Area</v>
          </cell>
          <cell r="B272">
            <v>1977.171966058969</v>
          </cell>
          <cell r="C272">
            <v>2439.4681813710772</v>
          </cell>
          <cell r="D272">
            <v>1758.7432095176378</v>
          </cell>
          <cell r="E272">
            <v>1205.6922999999999</v>
          </cell>
          <cell r="F272">
            <v>1043.9595999999999</v>
          </cell>
          <cell r="G272">
            <v>116.70520283676704</v>
          </cell>
          <cell r="H272">
            <v>13.3468</v>
          </cell>
          <cell r="I272">
            <v>290.98481048524263</v>
          </cell>
          <cell r="J272">
            <v>87.982399999999998</v>
          </cell>
          <cell r="N272">
            <v>7.8905000000000003</v>
          </cell>
          <cell r="R272">
            <v>72.026353923911046</v>
          </cell>
          <cell r="S272">
            <v>17.241</v>
          </cell>
          <cell r="U272">
            <v>23.680499999999999</v>
          </cell>
          <cell r="W272">
            <v>225.72579999999999</v>
          </cell>
          <cell r="AA272">
            <v>11.7256</v>
          </cell>
          <cell r="AB272">
            <v>35.002600000000001</v>
          </cell>
          <cell r="AE272">
            <v>12.087899999999999</v>
          </cell>
          <cell r="DO272">
            <v>272</v>
          </cell>
        </row>
        <row r="273">
          <cell r="A273" t="str">
            <v>Pittsburgh, PA Metro Area</v>
          </cell>
          <cell r="B273">
            <v>12658.279705996187</v>
          </cell>
          <cell r="C273">
            <v>7381.059009892313</v>
          </cell>
          <cell r="D273">
            <v>9714.0323546990767</v>
          </cell>
          <cell r="E273">
            <v>8170.8764050810214</v>
          </cell>
          <cell r="F273">
            <v>6977.2068107454634</v>
          </cell>
          <cell r="G273">
            <v>5093.5949078236299</v>
          </cell>
          <cell r="H273">
            <v>4155.9031582244997</v>
          </cell>
          <cell r="I273">
            <v>2528.6386298207094</v>
          </cell>
          <cell r="J273">
            <v>2587.1758704504718</v>
          </cell>
          <cell r="K273">
            <v>2455.13298718654</v>
          </cell>
          <cell r="L273">
            <v>2575.0167853958774</v>
          </cell>
          <cell r="M273">
            <v>2094.5435411694398</v>
          </cell>
          <cell r="N273">
            <v>1235.2354810362203</v>
          </cell>
          <cell r="O273">
            <v>1273.9653671754033</v>
          </cell>
          <cell r="P273">
            <v>900.17476189697607</v>
          </cell>
          <cell r="Q273">
            <v>2149.9308517362397</v>
          </cell>
          <cell r="R273">
            <v>2149.9509366817738</v>
          </cell>
          <cell r="S273">
            <v>2122.8341669800425</v>
          </cell>
          <cell r="T273">
            <v>1347.653810708513</v>
          </cell>
          <cell r="U273">
            <v>1108.8396075560761</v>
          </cell>
          <cell r="V273">
            <v>803.60884535368905</v>
          </cell>
          <cell r="W273">
            <v>1599.6331159303156</v>
          </cell>
          <cell r="X273">
            <v>1849.2956633727867</v>
          </cell>
          <cell r="Y273">
            <v>1212.1035844920141</v>
          </cell>
          <cell r="Z273">
            <v>1309.6617049707604</v>
          </cell>
          <cell r="AA273">
            <v>2244.8715382750338</v>
          </cell>
          <cell r="AB273">
            <v>1184.9000386424946</v>
          </cell>
          <cell r="AC273">
            <v>1153.282646488635</v>
          </cell>
          <cell r="AD273">
            <v>632.111131</v>
          </cell>
          <cell r="AE273">
            <v>1930.4816651502185</v>
          </cell>
          <cell r="AF273">
            <v>943.57136312032401</v>
          </cell>
          <cell r="AG273">
            <v>1252.0902545530312</v>
          </cell>
          <cell r="AH273">
            <v>685.05464641209153</v>
          </cell>
          <cell r="AI273">
            <v>1215.5986003197231</v>
          </cell>
          <cell r="AJ273">
            <v>297.90972668925281</v>
          </cell>
          <cell r="AK273">
            <v>176.94433628486198</v>
          </cell>
          <cell r="AL273">
            <v>2904.8013541827704</v>
          </cell>
          <cell r="AM273">
            <v>916.10352874830551</v>
          </cell>
          <cell r="AN273">
            <v>253.13198783324191</v>
          </cell>
          <cell r="AO273">
            <v>2795.8937724330517</v>
          </cell>
          <cell r="AP273">
            <v>1593.9715594252045</v>
          </cell>
          <cell r="AQ273">
            <v>699.87118423633035</v>
          </cell>
          <cell r="AR273">
            <v>743.66151421440452</v>
          </cell>
          <cell r="AS273">
            <v>693.01627029199813</v>
          </cell>
          <cell r="AT273">
            <v>77.844899999999996</v>
          </cell>
          <cell r="AU273">
            <v>160.21887507678807</v>
          </cell>
          <cell r="AV273">
            <v>79.206387646293891</v>
          </cell>
          <cell r="AW273">
            <v>61.9756</v>
          </cell>
          <cell r="AY273">
            <v>39.0199</v>
          </cell>
          <cell r="AZ273">
            <v>46.154699999999998</v>
          </cell>
          <cell r="BB273">
            <v>30.6754</v>
          </cell>
          <cell r="DO273">
            <v>273</v>
          </cell>
        </row>
        <row r="274">
          <cell r="A274" t="str">
            <v>Pittsfield, MA Metro Area</v>
          </cell>
          <cell r="B274">
            <v>5804.9599685119083</v>
          </cell>
          <cell r="C274">
            <v>1068.1318101195268</v>
          </cell>
          <cell r="D274">
            <v>1079.19248787062</v>
          </cell>
          <cell r="F274">
            <v>204.86326528083475</v>
          </cell>
          <cell r="G274">
            <v>236.81</v>
          </cell>
          <cell r="I274">
            <v>98.011399999999995</v>
          </cell>
          <cell r="K274">
            <v>189.69845294181738</v>
          </cell>
          <cell r="L274">
            <v>28.662600000000001</v>
          </cell>
          <cell r="M274">
            <v>79.666429849369806</v>
          </cell>
          <cell r="N274">
            <v>227.50970000000001</v>
          </cell>
          <cell r="O274">
            <v>1878.6271432659594</v>
          </cell>
          <cell r="P274">
            <v>287.81240000000003</v>
          </cell>
          <cell r="R274">
            <v>94.426299999999998</v>
          </cell>
          <cell r="S274">
            <v>204.09963685001708</v>
          </cell>
          <cell r="T274">
            <v>740.14762238622393</v>
          </cell>
          <cell r="U274">
            <v>2129.6370000000002</v>
          </cell>
          <cell r="V274">
            <v>82.544537179487179</v>
          </cell>
          <cell r="W274">
            <v>28.930599999999998</v>
          </cell>
          <cell r="Y274">
            <v>32.181399999999996</v>
          </cell>
          <cell r="AA274">
            <v>68.661900000000003</v>
          </cell>
          <cell r="DO274">
            <v>274</v>
          </cell>
        </row>
        <row r="275">
          <cell r="A275" t="str">
            <v>Pocatello, ID Metro Area</v>
          </cell>
          <cell r="B275">
            <v>5008.6664735669383</v>
          </cell>
          <cell r="C275">
            <v>2196.7741865536859</v>
          </cell>
          <cell r="D275">
            <v>1511.4517119207335</v>
          </cell>
          <cell r="E275">
            <v>1839.6855692899326</v>
          </cell>
          <cell r="F275">
            <v>631.78599999999994</v>
          </cell>
          <cell r="G275">
            <v>208.59819999999999</v>
          </cell>
          <cell r="I275">
            <v>14.271599999999999</v>
          </cell>
          <cell r="J275">
            <v>25.772200000000002</v>
          </cell>
          <cell r="R275">
            <v>1.8951</v>
          </cell>
          <cell r="W275">
            <v>11.567899999999998</v>
          </cell>
          <cell r="AA275">
            <v>7.5788000000000002</v>
          </cell>
          <cell r="DO275">
            <v>275</v>
          </cell>
        </row>
        <row r="276">
          <cell r="A276" t="str">
            <v>Portland-South Portland-Biddeford, ME Metro Area</v>
          </cell>
          <cell r="B276">
            <v>11551.777843573231</v>
          </cell>
          <cell r="C276">
            <v>4541.1990896064262</v>
          </cell>
          <cell r="D276">
            <v>3047.0213560187804</v>
          </cell>
          <cell r="E276">
            <v>1961.0941630539287</v>
          </cell>
          <cell r="F276">
            <v>892.7603682230523</v>
          </cell>
          <cell r="G276">
            <v>898.79019510548085</v>
          </cell>
          <cell r="H276">
            <v>309.5231</v>
          </cell>
          <cell r="I276">
            <v>392.47168273276401</v>
          </cell>
          <cell r="J276">
            <v>271.7808</v>
          </cell>
          <cell r="K276">
            <v>447.4402373537892</v>
          </cell>
          <cell r="L276">
            <v>487.16562061760357</v>
          </cell>
          <cell r="M276">
            <v>605.97224779684825</v>
          </cell>
          <cell r="N276">
            <v>976.99795327868856</v>
          </cell>
          <cell r="O276">
            <v>338.32117608497725</v>
          </cell>
          <cell r="P276">
            <v>1073.2441872721854</v>
          </cell>
          <cell r="Q276">
            <v>2702.439140634478</v>
          </cell>
          <cell r="R276">
            <v>240.43975348621532</v>
          </cell>
          <cell r="S276">
            <v>164.5489</v>
          </cell>
          <cell r="T276">
            <v>141.85332546212911</v>
          </cell>
          <cell r="U276">
            <v>229.10749999999999</v>
          </cell>
          <cell r="V276">
            <v>119.95597244480315</v>
          </cell>
          <cell r="W276">
            <v>334.3014021805393</v>
          </cell>
          <cell r="X276">
            <v>1756.1205796733382</v>
          </cell>
          <cell r="Y276">
            <v>305.63571065210198</v>
          </cell>
          <cell r="Z276">
            <v>241.43072870454364</v>
          </cell>
          <cell r="AB276">
            <v>87.085249066084103</v>
          </cell>
          <cell r="AC276">
            <v>630.40481116173123</v>
          </cell>
          <cell r="AD276">
            <v>560.28792385382815</v>
          </cell>
          <cell r="AE276">
            <v>1160.9386999999999</v>
          </cell>
          <cell r="AF276">
            <v>290.04377795891099</v>
          </cell>
          <cell r="AG276">
            <v>67.297206308095667</v>
          </cell>
          <cell r="AJ276">
            <v>120.37380000000002</v>
          </cell>
          <cell r="AL276">
            <v>88.481963350125937</v>
          </cell>
          <cell r="AM276">
            <v>110.55993402880745</v>
          </cell>
          <cell r="AN276">
            <v>131.04429999999999</v>
          </cell>
          <cell r="AO276">
            <v>208.88955647725703</v>
          </cell>
          <cell r="AP276">
            <v>591.68050000000005</v>
          </cell>
          <cell r="AT276">
            <v>355.46718238239288</v>
          </cell>
          <cell r="AU276">
            <v>613.51639999999998</v>
          </cell>
          <cell r="DO276">
            <v>276</v>
          </cell>
        </row>
        <row r="277">
          <cell r="A277" t="str">
            <v>Portland-Vancouver-Hillsboro, OR-WA Metro Area</v>
          </cell>
          <cell r="B277">
            <v>16662.841448800715</v>
          </cell>
          <cell r="C277">
            <v>8396.1257858690878</v>
          </cell>
          <cell r="D277">
            <v>8028.3142793838479</v>
          </cell>
          <cell r="E277">
            <v>7064.8408741430048</v>
          </cell>
          <cell r="F277">
            <v>5813.5757845778407</v>
          </cell>
          <cell r="G277">
            <v>5405.6339291737568</v>
          </cell>
          <cell r="H277">
            <v>5028.3048423933296</v>
          </cell>
          <cell r="I277">
            <v>5229.5004535517746</v>
          </cell>
          <cell r="J277">
            <v>5504.2007799409384</v>
          </cell>
          <cell r="K277">
            <v>5088.4808754594696</v>
          </cell>
          <cell r="L277">
            <v>4173.9762066919147</v>
          </cell>
          <cell r="M277">
            <v>3741.1813144223966</v>
          </cell>
          <cell r="N277">
            <v>3243.1337038699508</v>
          </cell>
          <cell r="O277">
            <v>4266.4218214789971</v>
          </cell>
          <cell r="P277">
            <v>2320.7801663476916</v>
          </cell>
          <cell r="Q277">
            <v>1274.2252261377669</v>
          </cell>
          <cell r="R277">
            <v>799.5653097904858</v>
          </cell>
          <cell r="S277">
            <v>2173.9825636453843</v>
          </cell>
          <cell r="T277">
            <v>632.30439990171885</v>
          </cell>
          <cell r="U277">
            <v>1030.9380820944014</v>
          </cell>
          <cell r="V277">
            <v>1896.5723034753735</v>
          </cell>
          <cell r="W277">
            <v>1816.0867923518806</v>
          </cell>
          <cell r="X277">
            <v>112.38407385878271</v>
          </cell>
          <cell r="Y277">
            <v>199.86208880605318</v>
          </cell>
          <cell r="Z277">
            <v>1453.2641040357757</v>
          </cell>
          <cell r="AA277">
            <v>644.09642736807484</v>
          </cell>
          <cell r="AB277">
            <v>88.363440916133385</v>
          </cell>
          <cell r="AC277">
            <v>56.686437902753369</v>
          </cell>
          <cell r="AE277">
            <v>60.354205401459851</v>
          </cell>
          <cell r="AF277">
            <v>11.662000000000001</v>
          </cell>
          <cell r="AH277">
            <v>2188.2720597101966</v>
          </cell>
          <cell r="AI277">
            <v>3148.8723815241506</v>
          </cell>
          <cell r="AJ277">
            <v>27.901107087007155</v>
          </cell>
          <cell r="AK277">
            <v>599.66010000000006</v>
          </cell>
          <cell r="AL277">
            <v>79.711600000000004</v>
          </cell>
          <cell r="AP277">
            <v>66.796999999999997</v>
          </cell>
          <cell r="AQ277">
            <v>121.62526086956521</v>
          </cell>
          <cell r="AS277">
            <v>56.096551705132619</v>
          </cell>
          <cell r="AT277">
            <v>7.1199999999999999E-2</v>
          </cell>
          <cell r="AV277">
            <v>31.578299999999999</v>
          </cell>
          <cell r="AX277">
            <v>33.4983</v>
          </cell>
          <cell r="BA277">
            <v>26.3568</v>
          </cell>
          <cell r="DO277">
            <v>277</v>
          </cell>
        </row>
        <row r="278">
          <cell r="A278" t="str">
            <v>Port St. Lucie, FL Metro Area</v>
          </cell>
          <cell r="B278">
            <v>2747.1581999999999</v>
          </cell>
          <cell r="C278">
            <v>2106.659134</v>
          </cell>
          <cell r="D278">
            <v>2649.612558965604</v>
          </cell>
          <cell r="E278">
            <v>2598.647549559385</v>
          </cell>
          <cell r="F278">
            <v>1581.3645514674977</v>
          </cell>
          <cell r="G278">
            <v>1033.8378688488524</v>
          </cell>
          <cell r="H278">
            <v>1615.0662601920355</v>
          </cell>
          <cell r="I278">
            <v>2186.2924651404469</v>
          </cell>
          <cell r="J278">
            <v>2065.4831689236462</v>
          </cell>
          <cell r="K278">
            <v>2627.2591939281629</v>
          </cell>
          <cell r="L278">
            <v>1470.3393728669296</v>
          </cell>
          <cell r="M278">
            <v>1990.7061968219416</v>
          </cell>
          <cell r="N278">
            <v>3269.3957336738558</v>
          </cell>
          <cell r="O278">
            <v>1016.172858932705</v>
          </cell>
          <cell r="P278">
            <v>1329.8679116185519</v>
          </cell>
          <cell r="Q278">
            <v>49.787843637574952</v>
          </cell>
          <cell r="R278">
            <v>1301.9074631071633</v>
          </cell>
          <cell r="S278">
            <v>3294.2166000000002</v>
          </cell>
          <cell r="T278">
            <v>1027.0533044813458</v>
          </cell>
          <cell r="U278">
            <v>323.39049999999997</v>
          </cell>
          <cell r="Y278">
            <v>48.959099999999999</v>
          </cell>
          <cell r="Z278">
            <v>735.57929999999999</v>
          </cell>
          <cell r="DO278">
            <v>278</v>
          </cell>
        </row>
        <row r="279">
          <cell r="A279" t="str">
            <v>Poughkeepsie-Newburgh-Middletown, NY Metro Area</v>
          </cell>
          <cell r="B279">
            <v>8656.5353678102074</v>
          </cell>
          <cell r="C279">
            <v>4257.769282371075</v>
          </cell>
          <cell r="D279">
            <v>1744.5518081891632</v>
          </cell>
          <cell r="E279">
            <v>1324.0268000000001</v>
          </cell>
          <cell r="F279">
            <v>903.08123023230212</v>
          </cell>
          <cell r="G279">
            <v>984.72435548087685</v>
          </cell>
          <cell r="H279">
            <v>538.20095452248609</v>
          </cell>
          <cell r="I279">
            <v>1909.3203174595217</v>
          </cell>
          <cell r="J279">
            <v>663.66859161206571</v>
          </cell>
          <cell r="K279">
            <v>837.81167032146561</v>
          </cell>
          <cell r="L279">
            <v>686.83823592525619</v>
          </cell>
          <cell r="M279">
            <v>831.14651770837577</v>
          </cell>
          <cell r="N279">
            <v>976.82335170143426</v>
          </cell>
          <cell r="O279">
            <v>1562.226963105576</v>
          </cell>
          <cell r="P279">
            <v>3897.9000705189683</v>
          </cell>
          <cell r="Q279">
            <v>5811.8253982348042</v>
          </cell>
          <cell r="R279">
            <v>2092.2613661910773</v>
          </cell>
          <cell r="S279">
            <v>1013.9346558779885</v>
          </cell>
          <cell r="T279">
            <v>1263.2739436513073</v>
          </cell>
          <cell r="U279">
            <v>621.87588421632483</v>
          </cell>
          <cell r="V279">
            <v>376.91577899658154</v>
          </cell>
          <cell r="W279">
            <v>275.86318359676176</v>
          </cell>
          <cell r="X279">
            <v>1183.6575810711252</v>
          </cell>
          <cell r="Y279">
            <v>2249.3180742771415</v>
          </cell>
          <cell r="Z279">
            <v>208.43369999999999</v>
          </cell>
          <cell r="AA279">
            <v>329.10528199743663</v>
          </cell>
          <cell r="AB279">
            <v>458.08687229227849</v>
          </cell>
          <cell r="AC279">
            <v>7250.194035024364</v>
          </cell>
          <cell r="AD279">
            <v>8895.952679281183</v>
          </cell>
          <cell r="AE279">
            <v>1683.1547462468091</v>
          </cell>
          <cell r="AF279">
            <v>4551.5728826411887</v>
          </cell>
          <cell r="AG279">
            <v>2316.557639939695</v>
          </cell>
          <cell r="AH279">
            <v>1993.7322812236287</v>
          </cell>
          <cell r="AJ279">
            <v>350.23146600348173</v>
          </cell>
          <cell r="AK279">
            <v>216.12667649325627</v>
          </cell>
          <cell r="AM279">
            <v>77.02940000000001</v>
          </cell>
          <cell r="AN279">
            <v>955.32908017057559</v>
          </cell>
          <cell r="AO279">
            <v>189.57134894091416</v>
          </cell>
          <cell r="AP279">
            <v>174.09574900065888</v>
          </cell>
          <cell r="AR279">
            <v>128.7041545247437</v>
          </cell>
          <cell r="AU279">
            <v>4392.9258248867245</v>
          </cell>
          <cell r="DO279">
            <v>279</v>
          </cell>
        </row>
        <row r="280">
          <cell r="A280" t="str">
            <v>Prescott, AZ Metro Area</v>
          </cell>
          <cell r="B280">
            <v>2153.5026617227195</v>
          </cell>
          <cell r="C280">
            <v>433.70301201055872</v>
          </cell>
          <cell r="D280">
            <v>985.57253937156327</v>
          </cell>
          <cell r="E280">
            <v>1891.8330000000001</v>
          </cell>
          <cell r="F280">
            <v>214.018</v>
          </cell>
          <cell r="G280">
            <v>306.36959999999999</v>
          </cell>
          <cell r="J280">
            <v>1108.1538682385576</v>
          </cell>
          <cell r="K280">
            <v>2391.3690427321017</v>
          </cell>
          <cell r="L280">
            <v>1211.8417389882527</v>
          </cell>
          <cell r="P280">
            <v>164.5335</v>
          </cell>
          <cell r="Q280">
            <v>42.930300000000003</v>
          </cell>
          <cell r="S280">
            <v>27.985900000000001</v>
          </cell>
          <cell r="W280">
            <v>32.431628328632385</v>
          </cell>
          <cell r="AC280">
            <v>3.9333</v>
          </cell>
          <cell r="AD280">
            <v>183.85519843629839</v>
          </cell>
          <cell r="AE280">
            <v>1097.8280391535363</v>
          </cell>
          <cell r="AH280">
            <v>150.91399999999999</v>
          </cell>
          <cell r="AI280">
            <v>293.76589999999999</v>
          </cell>
          <cell r="AM280">
            <v>11.4496</v>
          </cell>
          <cell r="AN280">
            <v>61.116</v>
          </cell>
          <cell r="AP280">
            <v>4.0749000000000004</v>
          </cell>
          <cell r="AQ280">
            <v>81.978399999999993</v>
          </cell>
          <cell r="AS280">
            <v>114.15536067528555</v>
          </cell>
          <cell r="AT280">
            <v>212.60149999999999</v>
          </cell>
          <cell r="BB280">
            <v>1.5431999999999999</v>
          </cell>
          <cell r="DO280">
            <v>280</v>
          </cell>
        </row>
        <row r="281">
          <cell r="A281" t="str">
            <v>Providence-New Bedford-Fall River, RI-MA Metro Area</v>
          </cell>
          <cell r="B281">
            <v>11828.751500362434</v>
          </cell>
          <cell r="C281">
            <v>13797.848245522118</v>
          </cell>
          <cell r="D281">
            <v>8379.9895287935324</v>
          </cell>
          <cell r="E281">
            <v>6302.382365554743</v>
          </cell>
          <cell r="F281">
            <v>7304.1019534712359</v>
          </cell>
          <cell r="G281">
            <v>4758.9031175857717</v>
          </cell>
          <cell r="H281">
            <v>2138.7520324470188</v>
          </cell>
          <cell r="I281">
            <v>2251.6391010140437</v>
          </cell>
          <cell r="J281">
            <v>1800.3653376350383</v>
          </cell>
          <cell r="K281">
            <v>1861.120716141882</v>
          </cell>
          <cell r="L281">
            <v>3219.2126043152971</v>
          </cell>
          <cell r="M281">
            <v>1786.7966075262743</v>
          </cell>
          <cell r="N281">
            <v>2841.3766068517821</v>
          </cell>
          <cell r="O281">
            <v>4528.5367211288267</v>
          </cell>
          <cell r="P281">
            <v>1677.1089197117003</v>
          </cell>
          <cell r="Q281">
            <v>6258.6296516384582</v>
          </cell>
          <cell r="R281">
            <v>4792.6733386626402</v>
          </cell>
          <cell r="S281">
            <v>3200.1031921143494</v>
          </cell>
          <cell r="T281">
            <v>767.71057067102493</v>
          </cell>
          <cell r="U281">
            <v>840.44086344255982</v>
          </cell>
          <cell r="V281">
            <v>606.96564880285985</v>
          </cell>
          <cell r="W281">
            <v>1313.806805349104</v>
          </cell>
          <cell r="X281">
            <v>1471.5797136595465</v>
          </cell>
          <cell r="Y281">
            <v>2995.5913125234856</v>
          </cell>
          <cell r="Z281">
            <v>2023.507185590149</v>
          </cell>
          <cell r="AA281">
            <v>1268.3863527097296</v>
          </cell>
          <cell r="AB281">
            <v>2401.2738562158843</v>
          </cell>
          <cell r="AC281">
            <v>10093.679048351802</v>
          </cell>
          <cell r="AD281">
            <v>7289.3166491638112</v>
          </cell>
          <cell r="AE281">
            <v>8549.7121539734526</v>
          </cell>
          <cell r="AF281">
            <v>1077.6035770355682</v>
          </cell>
          <cell r="AG281">
            <v>766.55226736366205</v>
          </cell>
          <cell r="AH281">
            <v>172.6936</v>
          </cell>
          <cell r="AL281">
            <v>632.19209999999998</v>
          </cell>
          <cell r="AM281">
            <v>2423.5279319154533</v>
          </cell>
          <cell r="AN281">
            <v>2011.7141999999999</v>
          </cell>
          <cell r="AO281">
            <v>289.29109999999997</v>
          </cell>
          <cell r="AU281">
            <v>115.72790000000001</v>
          </cell>
          <cell r="DO281">
            <v>281</v>
          </cell>
        </row>
        <row r="282">
          <cell r="A282" t="str">
            <v>Provo-Orem, UT Metro Area</v>
          </cell>
          <cell r="B282">
            <v>14333.494373217985</v>
          </cell>
          <cell r="C282">
            <v>7757.4079036084222</v>
          </cell>
          <cell r="D282">
            <v>5915.0451965660641</v>
          </cell>
          <cell r="E282">
            <v>3911.671113756614</v>
          </cell>
          <cell r="F282">
            <v>4158.3875922761636</v>
          </cell>
          <cell r="G282">
            <v>5535.9449739432948</v>
          </cell>
          <cell r="H282">
            <v>5510.484652592565</v>
          </cell>
          <cell r="I282">
            <v>1147.0940024884794</v>
          </cell>
          <cell r="J282">
            <v>2846.6401538315904</v>
          </cell>
          <cell r="K282">
            <v>3661.4275739679979</v>
          </cell>
          <cell r="L282">
            <v>4696.8050565934063</v>
          </cell>
          <cell r="M282">
            <v>3473.8867307666669</v>
          </cell>
          <cell r="N282">
            <v>1299.2216850238665</v>
          </cell>
          <cell r="O282">
            <v>1994.7326734150338</v>
          </cell>
          <cell r="P282">
            <v>2549.2409466073459</v>
          </cell>
          <cell r="Q282">
            <v>1915.3421241103829</v>
          </cell>
          <cell r="R282">
            <v>1877.724693173963</v>
          </cell>
          <cell r="S282">
            <v>1010.2705851111754</v>
          </cell>
          <cell r="T282">
            <v>951.39849674841378</v>
          </cell>
          <cell r="U282">
            <v>357.57946615623615</v>
          </cell>
          <cell r="V282">
            <v>13.3269</v>
          </cell>
          <cell r="W282">
            <v>10.023</v>
          </cell>
          <cell r="Y282">
            <v>0</v>
          </cell>
          <cell r="AJ282">
            <v>1.3879999999999999</v>
          </cell>
          <cell r="AM282">
            <v>282.7398</v>
          </cell>
          <cell r="DO282">
            <v>282</v>
          </cell>
        </row>
        <row r="283">
          <cell r="A283" t="str">
            <v>Pueblo, CO Metro Area</v>
          </cell>
          <cell r="B283">
            <v>2558.5633614555254</v>
          </cell>
          <cell r="C283">
            <v>3955.5646493980416</v>
          </cell>
          <cell r="D283">
            <v>4016.5726471526386</v>
          </cell>
          <cell r="E283">
            <v>3051.022778566954</v>
          </cell>
          <cell r="F283">
            <v>860.27126156367046</v>
          </cell>
          <cell r="G283">
            <v>530.45669999999996</v>
          </cell>
          <cell r="H283">
            <v>238.2886</v>
          </cell>
          <cell r="I283">
            <v>1558.3103328012548</v>
          </cell>
          <cell r="J283">
            <v>534.34189131697019</v>
          </cell>
          <cell r="K283">
            <v>1727.9311</v>
          </cell>
          <cell r="L283">
            <v>380.29579999999999</v>
          </cell>
          <cell r="M283">
            <v>141.57529999999997</v>
          </cell>
          <cell r="N283">
            <v>7.3365381751516008</v>
          </cell>
          <cell r="U283">
            <v>0</v>
          </cell>
          <cell r="AA283">
            <v>16.4788</v>
          </cell>
          <cell r="DO283">
            <v>283</v>
          </cell>
        </row>
        <row r="284">
          <cell r="A284" t="str">
            <v>Punta Gorda, FL Metro Area</v>
          </cell>
          <cell r="C284">
            <v>1746.4917766710209</v>
          </cell>
          <cell r="D284">
            <v>1614.6047071245312</v>
          </cell>
          <cell r="E284">
            <v>1656.8708140707247</v>
          </cell>
          <cell r="F284">
            <v>1717.1138262321751</v>
          </cell>
          <cell r="G284">
            <v>2030.5345977971313</v>
          </cell>
          <cell r="H284">
            <v>1386.8150633447583</v>
          </cell>
          <cell r="I284">
            <v>624.89438644864038</v>
          </cell>
          <cell r="L284">
            <v>276.47649653702251</v>
          </cell>
          <cell r="M284">
            <v>409.92075531393567</v>
          </cell>
          <cell r="O284">
            <v>746.3682</v>
          </cell>
          <cell r="P284">
            <v>985.83983319961487</v>
          </cell>
          <cell r="R284">
            <v>1213.6374402617398</v>
          </cell>
          <cell r="T284">
            <v>1262.3815999999999</v>
          </cell>
          <cell r="DO284">
            <v>284</v>
          </cell>
        </row>
        <row r="285">
          <cell r="A285" t="str">
            <v>Racine, WI Metro Area</v>
          </cell>
          <cell r="B285">
            <v>7490.5726150955825</v>
          </cell>
          <cell r="C285">
            <v>6377.4606058090285</v>
          </cell>
          <cell r="D285">
            <v>3809.2242363069718</v>
          </cell>
          <cell r="E285">
            <v>1996.6683551224694</v>
          </cell>
          <cell r="F285">
            <v>1402.3394956409857</v>
          </cell>
          <cell r="G285">
            <v>782.87088053800335</v>
          </cell>
          <cell r="H285">
            <v>1109.3407</v>
          </cell>
          <cell r="I285">
            <v>197.0813</v>
          </cell>
          <cell r="L285">
            <v>92.215000000000003</v>
          </cell>
          <cell r="N285">
            <v>108.99630000000001</v>
          </cell>
          <cell r="O285">
            <v>892.89949999999999</v>
          </cell>
          <cell r="Q285">
            <v>777.03719999999998</v>
          </cell>
          <cell r="S285">
            <v>96.792299999999997</v>
          </cell>
          <cell r="T285">
            <v>171.13579999999999</v>
          </cell>
          <cell r="V285">
            <v>633.53719999999998</v>
          </cell>
          <cell r="W285">
            <v>2067.8665000000001</v>
          </cell>
          <cell r="X285">
            <v>232.63764718670075</v>
          </cell>
          <cell r="Z285">
            <v>863.50727623215107</v>
          </cell>
          <cell r="AA285">
            <v>890.8519</v>
          </cell>
          <cell r="DO285">
            <v>285</v>
          </cell>
        </row>
        <row r="286">
          <cell r="A286" t="str">
            <v>Raleigh-Cary, NC Metro Area</v>
          </cell>
          <cell r="B286">
            <v>4776.8790222243051</v>
          </cell>
          <cell r="C286">
            <v>4768.3617049718077</v>
          </cell>
          <cell r="D286">
            <v>3708.5420706879981</v>
          </cell>
          <cell r="E286">
            <v>2866.4966560600228</v>
          </cell>
          <cell r="F286">
            <v>2062.4688866643728</v>
          </cell>
          <cell r="G286">
            <v>2944.2630561255478</v>
          </cell>
          <cell r="H286">
            <v>2599.9736588983628</v>
          </cell>
          <cell r="I286">
            <v>2445.757725508005</v>
          </cell>
          <cell r="J286">
            <v>2601.8437432497881</v>
          </cell>
          <cell r="K286">
            <v>1817.300929004007</v>
          </cell>
          <cell r="L286">
            <v>1630.0947043992958</v>
          </cell>
          <cell r="M286">
            <v>2127.2594709297855</v>
          </cell>
          <cell r="N286">
            <v>1538.5651730145507</v>
          </cell>
          <cell r="O286">
            <v>1483.920178914309</v>
          </cell>
          <cell r="P286">
            <v>743.23038601101189</v>
          </cell>
          <cell r="Q286">
            <v>777.92089969328003</v>
          </cell>
          <cell r="R286">
            <v>626.25105778619911</v>
          </cell>
          <cell r="S286">
            <v>156.44059999999999</v>
          </cell>
          <cell r="T286">
            <v>419.6934</v>
          </cell>
          <cell r="U286">
            <v>238.83718778362288</v>
          </cell>
          <cell r="V286">
            <v>270.44334777964809</v>
          </cell>
          <cell r="W286">
            <v>160.28476551418441</v>
          </cell>
          <cell r="Y286">
            <v>126.13120000000001</v>
          </cell>
          <cell r="Z286">
            <v>230.7846896196572</v>
          </cell>
          <cell r="AA286">
            <v>564.40287260936623</v>
          </cell>
          <cell r="AB286">
            <v>312.64269999999999</v>
          </cell>
          <cell r="AC286">
            <v>148.51771012048192</v>
          </cell>
          <cell r="AD286">
            <v>121.5714</v>
          </cell>
          <cell r="AE286">
            <v>163.62354189337429</v>
          </cell>
          <cell r="AF286">
            <v>127.64380828365721</v>
          </cell>
          <cell r="AI286">
            <v>113.52290000000001</v>
          </cell>
          <cell r="AJ286">
            <v>51.321399999999997</v>
          </cell>
          <cell r="AK286">
            <v>54.233400000000003</v>
          </cell>
          <cell r="AM286">
            <v>51.521099999999997</v>
          </cell>
          <cell r="DO286">
            <v>286</v>
          </cell>
        </row>
        <row r="287">
          <cell r="A287" t="str">
            <v>Rapid City, SD Metro Area</v>
          </cell>
          <cell r="B287">
            <v>2696.2283527687296</v>
          </cell>
          <cell r="C287">
            <v>2863.8365558165069</v>
          </cell>
          <cell r="D287">
            <v>2082.9935967505185</v>
          </cell>
          <cell r="E287">
            <v>720.49147091618227</v>
          </cell>
          <cell r="F287">
            <v>608.70043052785422</v>
          </cell>
          <cell r="G287">
            <v>378.05085246163458</v>
          </cell>
          <cell r="J287">
            <v>239.58335</v>
          </cell>
          <cell r="K287">
            <v>78.309399999999997</v>
          </cell>
          <cell r="N287">
            <v>16.883400000000002</v>
          </cell>
          <cell r="O287">
            <v>14.315300000000001</v>
          </cell>
          <cell r="R287">
            <v>6.8810000000000002</v>
          </cell>
          <cell r="U287">
            <v>3.5640000000000001</v>
          </cell>
          <cell r="AB287">
            <v>406.52989999999994</v>
          </cell>
          <cell r="AE287">
            <v>1.476</v>
          </cell>
          <cell r="DO287">
            <v>287</v>
          </cell>
        </row>
        <row r="288">
          <cell r="A288" t="str">
            <v>Reading, PA Metro Area</v>
          </cell>
          <cell r="B288">
            <v>20594.592603231878</v>
          </cell>
          <cell r="C288">
            <v>10192.485549063334</v>
          </cell>
          <cell r="D288">
            <v>2623.6906837104307</v>
          </cell>
          <cell r="E288">
            <v>3135.683750291721</v>
          </cell>
          <cell r="F288">
            <v>2072.4090608339684</v>
          </cell>
          <cell r="G288">
            <v>1248.2581653370744</v>
          </cell>
          <cell r="H288">
            <v>346.96278881438587</v>
          </cell>
          <cell r="I288">
            <v>973.71300591306635</v>
          </cell>
          <cell r="J288">
            <v>470.66173698228067</v>
          </cell>
          <cell r="K288">
            <v>1522.4282956993736</v>
          </cell>
          <cell r="L288">
            <v>512.47055897578264</v>
          </cell>
          <cell r="M288">
            <v>176.0631044771969</v>
          </cell>
          <cell r="N288">
            <v>319.04044985151108</v>
          </cell>
          <cell r="O288">
            <v>119.9987</v>
          </cell>
          <cell r="P288">
            <v>918.3841182818735</v>
          </cell>
          <cell r="Q288">
            <v>3705.4572586409404</v>
          </cell>
          <cell r="R288">
            <v>178.09944454038742</v>
          </cell>
          <cell r="S288">
            <v>329.18540000000002</v>
          </cell>
          <cell r="U288">
            <v>195.14769999999999</v>
          </cell>
          <cell r="V288">
            <v>92.140199999999993</v>
          </cell>
          <cell r="DO288">
            <v>288</v>
          </cell>
        </row>
        <row r="289">
          <cell r="A289" t="str">
            <v>Redding, CA Metro Area</v>
          </cell>
          <cell r="B289">
            <v>2502.6448339710305</v>
          </cell>
          <cell r="C289">
            <v>2251.4227695211825</v>
          </cell>
          <cell r="D289">
            <v>2678.1444799109427</v>
          </cell>
          <cell r="E289">
            <v>1382.5592186764407</v>
          </cell>
          <cell r="F289">
            <v>167.4145</v>
          </cell>
          <cell r="G289">
            <v>167.88777453561767</v>
          </cell>
          <cell r="H289">
            <v>880.6086798534003</v>
          </cell>
          <cell r="I289">
            <v>292.03093272907597</v>
          </cell>
          <cell r="J289">
            <v>1087.8111646135969</v>
          </cell>
          <cell r="K289">
            <v>668.01210275113317</v>
          </cell>
          <cell r="N289">
            <v>137.0538</v>
          </cell>
          <cell r="O289">
            <v>270.02699999999999</v>
          </cell>
          <cell r="T289">
            <v>7.9020999999999999</v>
          </cell>
          <cell r="U289">
            <v>5.7488999999999999</v>
          </cell>
          <cell r="AA289">
            <v>3.1438000000000001</v>
          </cell>
          <cell r="AB289">
            <v>13.3498</v>
          </cell>
          <cell r="AT289">
            <v>11.3245</v>
          </cell>
          <cell r="BF289">
            <v>6.1844999999999999</v>
          </cell>
          <cell r="DO289">
            <v>289</v>
          </cell>
        </row>
        <row r="290">
          <cell r="A290" t="str">
            <v>Reno-Sparks, NV Metro Area</v>
          </cell>
          <cell r="B290">
            <v>6229.2692093068772</v>
          </cell>
          <cell r="C290">
            <v>6036.6261393302184</v>
          </cell>
          <cell r="D290">
            <v>6520.5001774104931</v>
          </cell>
          <cell r="E290">
            <v>4510.3587514837654</v>
          </cell>
          <cell r="F290">
            <v>4310.9711470596985</v>
          </cell>
          <cell r="G290">
            <v>2978.4954772206447</v>
          </cell>
          <cell r="H290">
            <v>2605.6989722333246</v>
          </cell>
          <cell r="I290">
            <v>1440.1023739868549</v>
          </cell>
          <cell r="J290">
            <v>2190.9839827065289</v>
          </cell>
          <cell r="K290">
            <v>1876.9582935902558</v>
          </cell>
          <cell r="L290">
            <v>490.18964814084376</v>
          </cell>
          <cell r="M290">
            <v>241.03059999999999</v>
          </cell>
          <cell r="O290">
            <v>125.83572605952645</v>
          </cell>
          <cell r="P290">
            <v>548.02430000000004</v>
          </cell>
          <cell r="Q290">
            <v>46.487299999999998</v>
          </cell>
          <cell r="T290">
            <v>7.6899999999999996E-2</v>
          </cell>
          <cell r="U290">
            <v>156.39160000000001</v>
          </cell>
          <cell r="V290">
            <v>1642.2744853844974</v>
          </cell>
          <cell r="AA290">
            <v>0.81910000000000005</v>
          </cell>
          <cell r="AD290">
            <v>2.9763999999999995</v>
          </cell>
          <cell r="DO290">
            <v>290</v>
          </cell>
        </row>
        <row r="291">
          <cell r="A291" t="str">
            <v>Richmond, VA Metro Area</v>
          </cell>
          <cell r="B291">
            <v>7097.4813099582052</v>
          </cell>
          <cell r="C291">
            <v>7958.2377677323339</v>
          </cell>
          <cell r="D291">
            <v>6301.8105248119791</v>
          </cell>
          <cell r="E291">
            <v>2842.6188090853952</v>
          </cell>
          <cell r="F291">
            <v>2849.9366877588791</v>
          </cell>
          <cell r="G291">
            <v>2568.830778215874</v>
          </cell>
          <cell r="H291">
            <v>2500.9762765308374</v>
          </cell>
          <cell r="I291">
            <v>1981.3330212505327</v>
          </cell>
          <cell r="J291">
            <v>2078.0717698340309</v>
          </cell>
          <cell r="K291">
            <v>3073.8648409213365</v>
          </cell>
          <cell r="L291">
            <v>2034.3188127774504</v>
          </cell>
          <cell r="M291">
            <v>1895.8548737548188</v>
          </cell>
          <cell r="N291">
            <v>1835.6317076026121</v>
          </cell>
          <cell r="O291">
            <v>1679.1396195570326</v>
          </cell>
          <cell r="P291">
            <v>1145.3364571814202</v>
          </cell>
          <cell r="Q291">
            <v>1219.3093315412291</v>
          </cell>
          <cell r="R291">
            <v>985.53184241735244</v>
          </cell>
          <cell r="S291">
            <v>1030.1239897015746</v>
          </cell>
          <cell r="T291">
            <v>1542.2785857903202</v>
          </cell>
          <cell r="U291">
            <v>999.58428703156937</v>
          </cell>
          <cell r="V291">
            <v>2356.8646211246282</v>
          </cell>
          <cell r="W291">
            <v>827.67981151606239</v>
          </cell>
          <cell r="X291">
            <v>1359.5417949896835</v>
          </cell>
          <cell r="Y291">
            <v>939.63725655298936</v>
          </cell>
          <cell r="Z291">
            <v>653.7408593378409</v>
          </cell>
          <cell r="AA291">
            <v>91.358335773565585</v>
          </cell>
          <cell r="AB291">
            <v>109.3344598020044</v>
          </cell>
          <cell r="AC291">
            <v>40.607993146941354</v>
          </cell>
          <cell r="AD291">
            <v>73.180599999999998</v>
          </cell>
          <cell r="AE291">
            <v>53.084164044614027</v>
          </cell>
          <cell r="AF291">
            <v>71.556700000000006</v>
          </cell>
          <cell r="AG291">
            <v>59.431883980954005</v>
          </cell>
          <cell r="AH291">
            <v>83.428385441574235</v>
          </cell>
          <cell r="AJ291">
            <v>163.25395059268041</v>
          </cell>
          <cell r="AL291">
            <v>309.57589059344991</v>
          </cell>
          <cell r="AM291">
            <v>43.195352093476146</v>
          </cell>
          <cell r="AN291">
            <v>26.20514617486339</v>
          </cell>
          <cell r="AO291">
            <v>61.218299999999999</v>
          </cell>
          <cell r="AP291">
            <v>14.7341</v>
          </cell>
          <cell r="AQ291">
            <v>0</v>
          </cell>
          <cell r="AR291">
            <v>38.801915235809091</v>
          </cell>
          <cell r="AT291">
            <v>51.721499999999999</v>
          </cell>
          <cell r="AV291">
            <v>57.449612042230285</v>
          </cell>
          <cell r="BA291">
            <v>44.403799999999997</v>
          </cell>
          <cell r="BC291">
            <v>65.564499999999995</v>
          </cell>
          <cell r="DO291">
            <v>291</v>
          </cell>
        </row>
        <row r="292">
          <cell r="A292" t="str">
            <v>Riverside-San Bernardino-Ontario, CA Metro Area</v>
          </cell>
          <cell r="B292">
            <v>4485.3329093864804</v>
          </cell>
          <cell r="C292">
            <v>6302.4306130096084</v>
          </cell>
          <cell r="D292">
            <v>5133.314323560071</v>
          </cell>
          <cell r="E292">
            <v>4452.9476828260558</v>
          </cell>
          <cell r="F292">
            <v>3613.665997947714</v>
          </cell>
          <cell r="G292">
            <v>5312.3395631044514</v>
          </cell>
          <cell r="H292">
            <v>4306.8327560373627</v>
          </cell>
          <cell r="I292">
            <v>7119.415172543404</v>
          </cell>
          <cell r="J292">
            <v>6264.0033325052109</v>
          </cell>
          <cell r="K292">
            <v>6550.6047899596242</v>
          </cell>
          <cell r="L292">
            <v>5580.1158539109738</v>
          </cell>
          <cell r="M292">
            <v>5381.6453948677399</v>
          </cell>
          <cell r="N292">
            <v>4761.9877839205583</v>
          </cell>
          <cell r="O292">
            <v>4419.1691453655594</v>
          </cell>
          <cell r="P292">
            <v>5814.7156687970983</v>
          </cell>
          <cell r="Q292">
            <v>6418.348226125835</v>
          </cell>
          <cell r="R292">
            <v>6009.9544387142223</v>
          </cell>
          <cell r="S292">
            <v>5589.4465880375892</v>
          </cell>
          <cell r="T292">
            <v>4089.0700875466255</v>
          </cell>
          <cell r="U292">
            <v>5108.8340202349482</v>
          </cell>
          <cell r="V292">
            <v>3899.5346963448251</v>
          </cell>
          <cell r="W292">
            <v>2420.1942345583689</v>
          </cell>
          <cell r="X292">
            <v>2402.8572929937677</v>
          </cell>
          <cell r="Y292">
            <v>2358.8659999690262</v>
          </cell>
          <cell r="Z292">
            <v>2210.9628514818601</v>
          </cell>
          <cell r="AA292">
            <v>1322.7727246979514</v>
          </cell>
          <cell r="AB292">
            <v>2539.3952456209513</v>
          </cell>
          <cell r="AC292">
            <v>3522.8001071412032</v>
          </cell>
          <cell r="AD292">
            <v>3344.6253777095626</v>
          </cell>
          <cell r="AE292">
            <v>3079.033547618084</v>
          </cell>
          <cell r="AF292">
            <v>3380.8768927517358</v>
          </cell>
          <cell r="AG292">
            <v>2003.2578855509744</v>
          </cell>
          <cell r="AH292">
            <v>3293.8839806165806</v>
          </cell>
          <cell r="AI292">
            <v>2042.9261467110011</v>
          </cell>
          <cell r="AJ292">
            <v>2791.5908238724219</v>
          </cell>
          <cell r="AK292">
            <v>2936.4597397740695</v>
          </cell>
          <cell r="AL292">
            <v>2081.4520707183988</v>
          </cell>
          <cell r="AM292">
            <v>3108.1558694144533</v>
          </cell>
          <cell r="AN292">
            <v>2649.4456088216871</v>
          </cell>
          <cell r="AO292">
            <v>1439.2252234641808</v>
          </cell>
          <cell r="AP292">
            <v>182.81429646046664</v>
          </cell>
          <cell r="AQ292">
            <v>639.39084686777494</v>
          </cell>
          <cell r="AS292">
            <v>10.1251</v>
          </cell>
          <cell r="AV292">
            <v>71.526686408279645</v>
          </cell>
          <cell r="AW292">
            <v>114.13929169779992</v>
          </cell>
          <cell r="AX292">
            <v>2357.3297958683206</v>
          </cell>
          <cell r="AY292">
            <v>2405.3873418602948</v>
          </cell>
          <cell r="AZ292">
            <v>2734.9301528587321</v>
          </cell>
          <cell r="BA292">
            <v>1288.2979820726318</v>
          </cell>
          <cell r="BB292">
            <v>2770.6701732141601</v>
          </cell>
          <cell r="BC292">
            <v>6821.6777806278187</v>
          </cell>
          <cell r="BD292">
            <v>3114.6358030921524</v>
          </cell>
          <cell r="BE292">
            <v>624.58028883187956</v>
          </cell>
          <cell r="BF292">
            <v>503.8282869283637</v>
          </cell>
          <cell r="BG292">
            <v>1023.1148630972233</v>
          </cell>
          <cell r="BH292">
            <v>78.611518699380653</v>
          </cell>
          <cell r="BI292">
            <v>3029.8308661543392</v>
          </cell>
          <cell r="BJ292">
            <v>2269.3596707182674</v>
          </cell>
          <cell r="BK292">
            <v>927.11252511194039</v>
          </cell>
          <cell r="BL292">
            <v>954.08607325404864</v>
          </cell>
          <cell r="BM292">
            <v>1791.8736481738154</v>
          </cell>
          <cell r="BN292">
            <v>3267.7145527704383</v>
          </cell>
          <cell r="BO292">
            <v>2288.7913147555678</v>
          </cell>
          <cell r="BP292">
            <v>2950.4135076884422</v>
          </cell>
          <cell r="BQ292">
            <v>4480.0491272956433</v>
          </cell>
          <cell r="BR292">
            <v>4084.4788368113677</v>
          </cell>
          <cell r="BS292">
            <v>5721.6389686302418</v>
          </cell>
          <cell r="BT292">
            <v>1278.0906367329301</v>
          </cell>
          <cell r="BU292">
            <v>6048.2238857412176</v>
          </cell>
          <cell r="BV292">
            <v>4653.9490808148921</v>
          </cell>
          <cell r="BW292">
            <v>167.2501</v>
          </cell>
          <cell r="BX292">
            <v>752.70069999999998</v>
          </cell>
          <cell r="BZ292">
            <v>484.96070798026858</v>
          </cell>
          <cell r="CA292">
            <v>9.0649999999999995</v>
          </cell>
          <cell r="CE292">
            <v>2.1911999999999998</v>
          </cell>
          <cell r="CF292">
            <v>135.887</v>
          </cell>
          <cell r="CJ292">
            <v>0.55010000000000003</v>
          </cell>
          <cell r="CT292">
            <v>8.8877000000000006</v>
          </cell>
          <cell r="CY292">
            <v>1.6031</v>
          </cell>
          <cell r="DA292">
            <v>0.53659999999999997</v>
          </cell>
          <cell r="DB292">
            <v>2958.9418000000001</v>
          </cell>
          <cell r="DC292">
            <v>17.400400000000001</v>
          </cell>
          <cell r="DD292">
            <v>1673.5817272098084</v>
          </cell>
          <cell r="DE292">
            <v>2339.4156273707231</v>
          </cell>
          <cell r="DF292">
            <v>33.559800000000003</v>
          </cell>
          <cell r="DG292">
            <v>6.0533999999999999</v>
          </cell>
          <cell r="DH292">
            <v>70.614100000000008</v>
          </cell>
          <cell r="DI292">
            <v>0.60450000000000004</v>
          </cell>
          <cell r="DJ292">
            <v>35.112400000000001</v>
          </cell>
          <cell r="DO292">
            <v>292</v>
          </cell>
        </row>
        <row r="293">
          <cell r="A293" t="str">
            <v>Roanoke, VA Metro Area</v>
          </cell>
          <cell r="B293">
            <v>3525.2820216390242</v>
          </cell>
          <cell r="C293">
            <v>3750.6663224526756</v>
          </cell>
          <cell r="D293">
            <v>2271.3365702351416</v>
          </cell>
          <cell r="E293">
            <v>2341.7179836429941</v>
          </cell>
          <cell r="F293">
            <v>1981.4031267396956</v>
          </cell>
          <cell r="G293">
            <v>1405.8831906184557</v>
          </cell>
          <cell r="H293">
            <v>1398.0332555300263</v>
          </cell>
          <cell r="I293">
            <v>2156.7258000000002</v>
          </cell>
          <cell r="J293">
            <v>328.75266531861121</v>
          </cell>
          <cell r="K293">
            <v>210.7058500614898</v>
          </cell>
          <cell r="L293">
            <v>50.413600000000002</v>
          </cell>
          <cell r="M293">
            <v>95.66896816123851</v>
          </cell>
          <cell r="N293">
            <v>89.9405</v>
          </cell>
          <cell r="O293">
            <v>125.9127</v>
          </cell>
          <cell r="Q293">
            <v>61.262900000000002</v>
          </cell>
          <cell r="R293">
            <v>76.917500000000004</v>
          </cell>
          <cell r="T293">
            <v>65.505445032185847</v>
          </cell>
          <cell r="U293">
            <v>302.54192333333327</v>
          </cell>
          <cell r="W293">
            <v>32.798999999999999</v>
          </cell>
          <cell r="X293">
            <v>85.634200000000007</v>
          </cell>
          <cell r="AA293">
            <v>75.239900000000006</v>
          </cell>
          <cell r="AB293">
            <v>43.121899999999997</v>
          </cell>
          <cell r="AC293">
            <v>33.649742592238574</v>
          </cell>
          <cell r="DO293">
            <v>293</v>
          </cell>
        </row>
        <row r="294">
          <cell r="A294" t="str">
            <v>Rochester, MN Metro Area</v>
          </cell>
          <cell r="B294">
            <v>4138.056242805359</v>
          </cell>
          <cell r="C294">
            <v>2243.2534135563506</v>
          </cell>
          <cell r="D294">
            <v>2257.4884405092594</v>
          </cell>
          <cell r="E294">
            <v>2748.3118497272017</v>
          </cell>
          <cell r="F294">
            <v>144.91229999999999</v>
          </cell>
          <cell r="G294">
            <v>884.11768340308254</v>
          </cell>
          <cell r="I294">
            <v>26.7407</v>
          </cell>
          <cell r="K294">
            <v>482.86469065799474</v>
          </cell>
          <cell r="M294">
            <v>511.91149999999999</v>
          </cell>
          <cell r="O294">
            <v>31.000599999999999</v>
          </cell>
          <cell r="P294">
            <v>779.8017000000001</v>
          </cell>
          <cell r="Q294">
            <v>47.985399999999998</v>
          </cell>
          <cell r="S294">
            <v>216.61163063533508</v>
          </cell>
          <cell r="T294">
            <v>24.908999999999999</v>
          </cell>
          <cell r="U294">
            <v>38.228977637297511</v>
          </cell>
          <cell r="AA294">
            <v>20.502600000000001</v>
          </cell>
          <cell r="AD294">
            <v>19.428100000000004</v>
          </cell>
          <cell r="AF294">
            <v>1376.8590999999999</v>
          </cell>
          <cell r="AH294">
            <v>125.70959999999999</v>
          </cell>
          <cell r="DO294">
            <v>294</v>
          </cell>
        </row>
        <row r="295">
          <cell r="A295" t="str">
            <v>Rochester, NY Metro Area</v>
          </cell>
          <cell r="B295">
            <v>7567.1939712638014</v>
          </cell>
          <cell r="C295">
            <v>9729.4460056297576</v>
          </cell>
          <cell r="D295">
            <v>7866.5013585846873</v>
          </cell>
          <cell r="E295">
            <v>3903.9601483631586</v>
          </cell>
          <cell r="F295">
            <v>3343.2181512530951</v>
          </cell>
          <cell r="G295">
            <v>2680.8633804898527</v>
          </cell>
          <cell r="H295">
            <v>2760.7350766428567</v>
          </cell>
          <cell r="I295">
            <v>1618.3065626233408</v>
          </cell>
          <cell r="J295">
            <v>1768.8271764376923</v>
          </cell>
          <cell r="K295">
            <v>1490.6147072855897</v>
          </cell>
          <cell r="L295">
            <v>1081.5175253785785</v>
          </cell>
          <cell r="M295">
            <v>744.24062467943929</v>
          </cell>
          <cell r="N295">
            <v>551.83542235620473</v>
          </cell>
          <cell r="O295">
            <v>261.55128082103909</v>
          </cell>
          <cell r="P295">
            <v>371.23342107972934</v>
          </cell>
          <cell r="Q295">
            <v>462.91965598346798</v>
          </cell>
          <cell r="R295">
            <v>827.03706469738017</v>
          </cell>
          <cell r="S295">
            <v>432.33968680829685</v>
          </cell>
          <cell r="T295">
            <v>1085.5857000000001</v>
          </cell>
          <cell r="U295">
            <v>452.27506277742947</v>
          </cell>
          <cell r="V295">
            <v>1643.4632999999999</v>
          </cell>
          <cell r="W295">
            <v>129.69074367545431</v>
          </cell>
          <cell r="X295">
            <v>191.77814455530029</v>
          </cell>
          <cell r="Y295">
            <v>204.09440000000001</v>
          </cell>
          <cell r="Z295">
            <v>993.21464656533362</v>
          </cell>
          <cell r="AA295">
            <v>1385.9417089358246</v>
          </cell>
          <cell r="AB295">
            <v>618.23008431118319</v>
          </cell>
          <cell r="AC295">
            <v>1538.8325016589376</v>
          </cell>
          <cell r="AD295">
            <v>91.759139922357292</v>
          </cell>
          <cell r="AE295">
            <v>1433.3724999999999</v>
          </cell>
          <cell r="AF295">
            <v>82.619562640029869</v>
          </cell>
          <cell r="AG295">
            <v>100.64566948493683</v>
          </cell>
          <cell r="AH295">
            <v>614.23010883691222</v>
          </cell>
          <cell r="AI295">
            <v>57.118900000000004</v>
          </cell>
          <cell r="AJ295">
            <v>53.934099999999994</v>
          </cell>
          <cell r="AK295">
            <v>437.87900000000002</v>
          </cell>
          <cell r="AM295">
            <v>2290.8936136926263</v>
          </cell>
          <cell r="AN295">
            <v>61.189282197335388</v>
          </cell>
          <cell r="AO295">
            <v>448.95277070919502</v>
          </cell>
          <cell r="AQ295">
            <v>1971.1186</v>
          </cell>
          <cell r="AR295">
            <v>114.0326</v>
          </cell>
          <cell r="AS295">
            <v>62.179499999999997</v>
          </cell>
          <cell r="DO295">
            <v>295</v>
          </cell>
        </row>
        <row r="296">
          <cell r="A296" t="str">
            <v>Rockford, IL Metro Area</v>
          </cell>
          <cell r="B296">
            <v>5760.4982334349952</v>
          </cell>
          <cell r="C296">
            <v>4799.5116263479358</v>
          </cell>
          <cell r="D296">
            <v>3673.1063570579527</v>
          </cell>
          <cell r="E296">
            <v>2814.0296367284473</v>
          </cell>
          <cell r="F296">
            <v>1966.7803756634244</v>
          </cell>
          <cell r="G296">
            <v>2231.4926469347079</v>
          </cell>
          <cell r="H296">
            <v>1151.3747314478956</v>
          </cell>
          <cell r="I296">
            <v>129.91386154587045</v>
          </cell>
          <cell r="J296">
            <v>1178.6890000000001</v>
          </cell>
          <cell r="L296">
            <v>302.86942706872372</v>
          </cell>
          <cell r="M296">
            <v>582.29689281824722</v>
          </cell>
          <cell r="N296">
            <v>1688.8671902610411</v>
          </cell>
          <cell r="O296">
            <v>1256.4232726971275</v>
          </cell>
          <cell r="P296">
            <v>951.37159999999994</v>
          </cell>
          <cell r="Q296">
            <v>421.49759999999998</v>
          </cell>
          <cell r="R296">
            <v>52.72829999999999</v>
          </cell>
          <cell r="T296">
            <v>37.610599999999998</v>
          </cell>
          <cell r="DO296">
            <v>296</v>
          </cell>
        </row>
        <row r="297">
          <cell r="A297" t="str">
            <v>Rocky Mount, NC Metro Area</v>
          </cell>
          <cell r="B297">
            <v>1808.5884000000001</v>
          </cell>
          <cell r="C297">
            <v>968.13779494593814</v>
          </cell>
          <cell r="D297">
            <v>1125.5028</v>
          </cell>
          <cell r="E297">
            <v>1227.9089847382306</v>
          </cell>
          <cell r="F297">
            <v>555.37159999999994</v>
          </cell>
          <cell r="G297">
            <v>65.534000000000006</v>
          </cell>
          <cell r="H297">
            <v>230.75846919916606</v>
          </cell>
          <cell r="J297">
            <v>96.751345220366275</v>
          </cell>
          <cell r="K297">
            <v>215.04929999999999</v>
          </cell>
          <cell r="L297">
            <v>73.625399999999999</v>
          </cell>
          <cell r="N297">
            <v>25.843900000000001</v>
          </cell>
          <cell r="O297">
            <v>324.12180622204374</v>
          </cell>
          <cell r="P297">
            <v>51.055700000000009</v>
          </cell>
          <cell r="Q297">
            <v>908.93529999999998</v>
          </cell>
          <cell r="R297">
            <v>251.66776324537355</v>
          </cell>
          <cell r="S297">
            <v>107.83969999999999</v>
          </cell>
          <cell r="T297">
            <v>27.491</v>
          </cell>
          <cell r="V297">
            <v>137.09809999999999</v>
          </cell>
          <cell r="Y297">
            <v>102.93049999999998</v>
          </cell>
          <cell r="DO297">
            <v>297</v>
          </cell>
        </row>
        <row r="298">
          <cell r="A298" t="str">
            <v>Rome, GA Metro Area</v>
          </cell>
          <cell r="B298">
            <v>1912.6987999999999</v>
          </cell>
          <cell r="C298">
            <v>1221.6518685154369</v>
          </cell>
          <cell r="D298">
            <v>1235.5831324863152</v>
          </cell>
          <cell r="F298">
            <v>1081.4840049325026</v>
          </cell>
          <cell r="G298">
            <v>227.14058405885959</v>
          </cell>
          <cell r="H298">
            <v>104.4765</v>
          </cell>
          <cell r="J298">
            <v>142.81276753846154</v>
          </cell>
          <cell r="L298">
            <v>54.764000000000003</v>
          </cell>
          <cell r="N298">
            <v>43.6631</v>
          </cell>
          <cell r="DO298">
            <v>298</v>
          </cell>
        </row>
        <row r="299">
          <cell r="A299" t="str">
            <v>Sacramento--Arden-Arcade--Roseville, CA Metro Area</v>
          </cell>
          <cell r="B299">
            <v>8402.687659567524</v>
          </cell>
          <cell r="C299">
            <v>6416.2884200535455</v>
          </cell>
          <cell r="D299">
            <v>5021.2879877962041</v>
          </cell>
          <cell r="E299">
            <v>5641.3205870395732</v>
          </cell>
          <cell r="F299">
            <v>6529.4558599538177</v>
          </cell>
          <cell r="G299">
            <v>4939.7063238006485</v>
          </cell>
          <cell r="H299">
            <v>6869.4972364641471</v>
          </cell>
          <cell r="I299">
            <v>6304.8550775749109</v>
          </cell>
          <cell r="J299">
            <v>4959.539436122167</v>
          </cell>
          <cell r="K299">
            <v>5642.6276196255276</v>
          </cell>
          <cell r="L299">
            <v>5803.6462694459215</v>
          </cell>
          <cell r="M299">
            <v>5987.771140747861</v>
          </cell>
          <cell r="N299">
            <v>5420.0007328418278</v>
          </cell>
          <cell r="O299">
            <v>5463.8914125242345</v>
          </cell>
          <cell r="P299">
            <v>5031.7108711576484</v>
          </cell>
          <cell r="Q299">
            <v>4885.8611162104426</v>
          </cell>
          <cell r="R299">
            <v>3621.9453011089231</v>
          </cell>
          <cell r="S299">
            <v>4556.7409011827267</v>
          </cell>
          <cell r="T299">
            <v>3333.5600386017186</v>
          </cell>
          <cell r="U299">
            <v>3504.8408563024627</v>
          </cell>
          <cell r="V299">
            <v>2297.6805108587514</v>
          </cell>
          <cell r="W299">
            <v>2548.5064505619434</v>
          </cell>
          <cell r="X299">
            <v>1306.6502341138498</v>
          </cell>
          <cell r="Y299">
            <v>2529.0943583302605</v>
          </cell>
          <cell r="Z299">
            <v>1335.2700759599265</v>
          </cell>
          <cell r="AA299">
            <v>439.8867602187679</v>
          </cell>
          <cell r="AB299">
            <v>72.356399999999994</v>
          </cell>
          <cell r="AC299">
            <v>2152.6623051052125</v>
          </cell>
          <cell r="AD299">
            <v>754.66139227678582</v>
          </cell>
          <cell r="AE299">
            <v>763.69740000000002</v>
          </cell>
          <cell r="AF299">
            <v>532.6093641563491</v>
          </cell>
          <cell r="AG299">
            <v>517.40470297074671</v>
          </cell>
          <cell r="AH299">
            <v>1837.9619709239576</v>
          </cell>
          <cell r="AI299">
            <v>466.47525533870163</v>
          </cell>
          <cell r="AJ299">
            <v>73.249799999999993</v>
          </cell>
          <cell r="AK299">
            <v>346.42360000000002</v>
          </cell>
          <cell r="AL299">
            <v>591.15899999999999</v>
          </cell>
          <cell r="AM299">
            <v>419.36683616423932</v>
          </cell>
          <cell r="AN299">
            <v>471.02050000000003</v>
          </cell>
          <cell r="AO299">
            <v>331.31303331039226</v>
          </cell>
          <cell r="AP299">
            <v>187.0367</v>
          </cell>
          <cell r="AS299">
            <v>151.5977</v>
          </cell>
          <cell r="AT299">
            <v>98.85707517747187</v>
          </cell>
          <cell r="AY299">
            <v>259.27818550232814</v>
          </cell>
          <cell r="BC299">
            <v>23.411100000000001</v>
          </cell>
          <cell r="BR299">
            <v>0.69779999999999998</v>
          </cell>
          <cell r="CC299">
            <v>29.777208670756647</v>
          </cell>
          <cell r="CD299">
            <v>27.628363512145754</v>
          </cell>
          <cell r="CE299">
            <v>396.49700000000001</v>
          </cell>
          <cell r="CF299">
            <v>60.4937417104899</v>
          </cell>
          <cell r="CG299">
            <v>1370.3934081013708</v>
          </cell>
          <cell r="CH299">
            <v>2724.0842406430029</v>
          </cell>
          <cell r="CI299">
            <v>1626.0798501805054</v>
          </cell>
          <cell r="CJ299">
            <v>1304.1713</v>
          </cell>
          <cell r="CK299">
            <v>808.35279768285875</v>
          </cell>
          <cell r="CN299">
            <v>201.1397</v>
          </cell>
          <cell r="CO299">
            <v>1266.2050999999999</v>
          </cell>
          <cell r="DO299">
            <v>299</v>
          </cell>
        </row>
        <row r="300">
          <cell r="A300" t="str">
            <v>Saginaw-Saginaw Township North, MI Metro Area</v>
          </cell>
          <cell r="B300">
            <v>3350.2035122544889</v>
          </cell>
          <cell r="C300">
            <v>4087.6429074499297</v>
          </cell>
          <cell r="D300">
            <v>2444.0964990256803</v>
          </cell>
          <cell r="E300">
            <v>1780.5900563905766</v>
          </cell>
          <cell r="F300">
            <v>1682.3765406027771</v>
          </cell>
          <cell r="G300">
            <v>775.47528964280968</v>
          </cell>
          <cell r="H300">
            <v>243.24654740288733</v>
          </cell>
          <cell r="I300">
            <v>159.358</v>
          </cell>
          <cell r="J300">
            <v>320.18408520745635</v>
          </cell>
          <cell r="K300">
            <v>54.9818</v>
          </cell>
          <cell r="L300">
            <v>101.6716</v>
          </cell>
          <cell r="M300">
            <v>218.37199467587118</v>
          </cell>
          <cell r="O300">
            <v>93.467699999999994</v>
          </cell>
          <cell r="P300">
            <v>121.119172035988</v>
          </cell>
          <cell r="R300">
            <v>51.492199999999997</v>
          </cell>
          <cell r="S300">
            <v>54.617699999999999</v>
          </cell>
          <cell r="T300">
            <v>139.239</v>
          </cell>
          <cell r="U300">
            <v>66.161600000000007</v>
          </cell>
          <cell r="X300">
            <v>48.975000000000001</v>
          </cell>
          <cell r="DO300">
            <v>300</v>
          </cell>
        </row>
        <row r="301">
          <cell r="A301" t="str">
            <v>St. Cloud, MN Metro Area</v>
          </cell>
          <cell r="B301">
            <v>4425.8842972153379</v>
          </cell>
          <cell r="C301">
            <v>3598.2459932235706</v>
          </cell>
          <cell r="D301">
            <v>1019.4161162421913</v>
          </cell>
          <cell r="E301">
            <v>1608.6321505556018</v>
          </cell>
          <cell r="F301">
            <v>876.63136230515306</v>
          </cell>
          <cell r="G301">
            <v>49.0944</v>
          </cell>
          <cell r="H301">
            <v>458.50208655193296</v>
          </cell>
          <cell r="I301">
            <v>472.17290000000003</v>
          </cell>
          <cell r="L301">
            <v>90.886445347990204</v>
          </cell>
          <cell r="O301">
            <v>22.597000000000001</v>
          </cell>
          <cell r="P301">
            <v>66.090439436846353</v>
          </cell>
          <cell r="Q301">
            <v>116.61817263626253</v>
          </cell>
          <cell r="V301">
            <v>59.124652717391299</v>
          </cell>
          <cell r="W301">
            <v>42.471200000000003</v>
          </cell>
          <cell r="AE301">
            <v>35.133800000000001</v>
          </cell>
          <cell r="AF301">
            <v>119.0791</v>
          </cell>
          <cell r="AI301">
            <v>93.798199999999994</v>
          </cell>
          <cell r="AP301">
            <v>32.801002080237744</v>
          </cell>
          <cell r="DO301">
            <v>301</v>
          </cell>
        </row>
        <row r="302">
          <cell r="A302" t="str">
            <v>St. George, UT Metro Area</v>
          </cell>
          <cell r="B302">
            <v>5094.6921761752683</v>
          </cell>
          <cell r="C302">
            <v>1134.0044191648487</v>
          </cell>
          <cell r="D302">
            <v>2073.4295112420282</v>
          </cell>
          <cell r="E302">
            <v>876.26061022477859</v>
          </cell>
          <cell r="F302">
            <v>416.2110957329167</v>
          </cell>
          <cell r="H302">
            <v>116.2633</v>
          </cell>
          <cell r="P302">
            <v>105.05739999999999</v>
          </cell>
          <cell r="R302">
            <v>100.7567</v>
          </cell>
          <cell r="T302">
            <v>215.2928</v>
          </cell>
          <cell r="Z302">
            <v>10.3088</v>
          </cell>
          <cell r="AD302">
            <v>5.6959</v>
          </cell>
          <cell r="DO302">
            <v>302</v>
          </cell>
        </row>
        <row r="303">
          <cell r="A303" t="str">
            <v>St. Joseph, MO-KS Metro Area</v>
          </cell>
          <cell r="B303">
            <v>4505.045494439737</v>
          </cell>
          <cell r="C303">
            <v>3286.9081897150995</v>
          </cell>
          <cell r="D303">
            <v>2125.0005005802482</v>
          </cell>
          <cell r="E303">
            <v>1675.5838715693073</v>
          </cell>
          <cell r="F303">
            <v>625.187233090056</v>
          </cell>
          <cell r="G303">
            <v>82.396000000000001</v>
          </cell>
          <cell r="K303">
            <v>36.770724899156583</v>
          </cell>
          <cell r="L303">
            <v>28.781500000000001</v>
          </cell>
          <cell r="M303">
            <v>172.7167</v>
          </cell>
          <cell r="O303">
            <v>16.067799999999998</v>
          </cell>
          <cell r="P303">
            <v>16.676100000000002</v>
          </cell>
          <cell r="R303">
            <v>14.958</v>
          </cell>
          <cell r="T303">
            <v>18.8123</v>
          </cell>
          <cell r="X303">
            <v>13.148300000000001</v>
          </cell>
          <cell r="AG303">
            <v>42.552300000000002</v>
          </cell>
          <cell r="DO303">
            <v>303</v>
          </cell>
        </row>
        <row r="304">
          <cell r="A304" t="str">
            <v>St. Louis, MO-IL Metro Area</v>
          </cell>
          <cell r="B304">
            <v>5019.5023381704013</v>
          </cell>
          <cell r="C304">
            <v>5067.774635785323</v>
          </cell>
          <cell r="D304">
            <v>6801.6143642774914</v>
          </cell>
          <cell r="E304">
            <v>7980.5894707123289</v>
          </cell>
          <cell r="F304">
            <v>5792.7072980353714</v>
          </cell>
          <cell r="G304">
            <v>5373.1996079057099</v>
          </cell>
          <cell r="H304">
            <v>5772.4781825240952</v>
          </cell>
          <cell r="I304">
            <v>4168.1190714440527</v>
          </cell>
          <cell r="J304">
            <v>3829.7091426834322</v>
          </cell>
          <cell r="K304">
            <v>3062.6087402389653</v>
          </cell>
          <cell r="L304">
            <v>2856.6057822885191</v>
          </cell>
          <cell r="M304">
            <v>3363.9117358340663</v>
          </cell>
          <cell r="N304">
            <v>2878.0542974587415</v>
          </cell>
          <cell r="O304">
            <v>2031.0322752289314</v>
          </cell>
          <cell r="P304">
            <v>2636.2716839081131</v>
          </cell>
          <cell r="Q304">
            <v>2385.7277542642928</v>
          </cell>
          <cell r="R304">
            <v>1664.6220111284997</v>
          </cell>
          <cell r="S304">
            <v>2309.5030660149664</v>
          </cell>
          <cell r="T304">
            <v>2361.9572722554067</v>
          </cell>
          <cell r="U304">
            <v>2480.2422494161192</v>
          </cell>
          <cell r="V304">
            <v>1993.9636528264753</v>
          </cell>
          <cell r="W304">
            <v>1459.7492822170557</v>
          </cell>
          <cell r="X304">
            <v>2137.7975806118925</v>
          </cell>
          <cell r="Y304">
            <v>1897.1807010104592</v>
          </cell>
          <cell r="Z304">
            <v>2255.2151663696445</v>
          </cell>
          <cell r="AA304">
            <v>1017.7659725620211</v>
          </cell>
          <cell r="AB304">
            <v>784.98692023199351</v>
          </cell>
          <cell r="AC304">
            <v>2057.6247838246172</v>
          </cell>
          <cell r="AD304">
            <v>1460.5837868192446</v>
          </cell>
          <cell r="AE304">
            <v>1729.6431238848618</v>
          </cell>
          <cell r="AF304">
            <v>2424.9062351386447</v>
          </cell>
          <cell r="AG304">
            <v>1674.4791700119329</v>
          </cell>
          <cell r="AH304">
            <v>671.67049651991749</v>
          </cell>
          <cell r="AI304">
            <v>352.10359999999991</v>
          </cell>
          <cell r="AJ304">
            <v>735.30184530927841</v>
          </cell>
          <cell r="AK304">
            <v>49.217477890594253</v>
          </cell>
          <cell r="AL304">
            <v>445.42774439058473</v>
          </cell>
          <cell r="AM304">
            <v>407.27825034192199</v>
          </cell>
          <cell r="AN304">
            <v>329.09956461472643</v>
          </cell>
          <cell r="AO304">
            <v>1162.9573859027419</v>
          </cell>
          <cell r="AP304">
            <v>236.16611140150275</v>
          </cell>
          <cell r="AQ304">
            <v>131.91722088105109</v>
          </cell>
          <cell r="AR304">
            <v>16.220600000000001</v>
          </cell>
          <cell r="AS304">
            <v>603.39375064483113</v>
          </cell>
          <cell r="AT304">
            <v>125.07358066677837</v>
          </cell>
          <cell r="AU304">
            <v>310.9643857879488</v>
          </cell>
          <cell r="AV304">
            <v>522.81150851339669</v>
          </cell>
          <cell r="AW304">
            <v>131.0744</v>
          </cell>
          <cell r="AX304">
            <v>541.35362608796163</v>
          </cell>
          <cell r="AY304">
            <v>36.998584469729131</v>
          </cell>
          <cell r="AZ304">
            <v>45.656213458577149</v>
          </cell>
          <cell r="BA304">
            <v>72.412437047240076</v>
          </cell>
          <cell r="BB304">
            <v>263.85119242377579</v>
          </cell>
          <cell r="BC304">
            <v>48.105200000000004</v>
          </cell>
          <cell r="BD304">
            <v>82.792340163876034</v>
          </cell>
          <cell r="BE304">
            <v>33.093496463674128</v>
          </cell>
          <cell r="BF304">
            <v>154.44632190483523</v>
          </cell>
          <cell r="BG304">
            <v>54.84602101443366</v>
          </cell>
          <cell r="BH304">
            <v>287.48739999999998</v>
          </cell>
          <cell r="BI304">
            <v>129.4838</v>
          </cell>
          <cell r="BK304">
            <v>62.861199999999997</v>
          </cell>
          <cell r="BN304">
            <v>712.9199000000001</v>
          </cell>
          <cell r="BO304">
            <v>16.290099999999999</v>
          </cell>
          <cell r="DO304">
            <v>304</v>
          </cell>
        </row>
        <row r="305">
          <cell r="A305" t="str">
            <v>Salem, OR Metro Area</v>
          </cell>
          <cell r="B305">
            <v>2673.2703000000001</v>
          </cell>
          <cell r="C305">
            <v>4353.0211658172375</v>
          </cell>
          <cell r="D305">
            <v>4744.5816022551971</v>
          </cell>
          <cell r="E305">
            <v>4631.2675438871902</v>
          </cell>
          <cell r="F305">
            <v>3564.9928441782449</v>
          </cell>
          <cell r="G305">
            <v>3757.1610000000001</v>
          </cell>
          <cell r="H305">
            <v>1997.1918118134718</v>
          </cell>
          <cell r="I305">
            <v>108.20550000000001</v>
          </cell>
          <cell r="J305">
            <v>55.755699999999997</v>
          </cell>
          <cell r="L305">
            <v>851.93512643955398</v>
          </cell>
          <cell r="N305">
            <v>292.04340988813431</v>
          </cell>
          <cell r="O305">
            <v>1081.5554096622518</v>
          </cell>
          <cell r="P305">
            <v>158.36304430650685</v>
          </cell>
          <cell r="Q305">
            <v>929.47689496942951</v>
          </cell>
          <cell r="R305">
            <v>3722.8918071950698</v>
          </cell>
          <cell r="S305">
            <v>1386.2115245382586</v>
          </cell>
          <cell r="T305">
            <v>30.058</v>
          </cell>
          <cell r="W305">
            <v>176.60465923987252</v>
          </cell>
          <cell r="X305">
            <v>124.73350000000002</v>
          </cell>
          <cell r="AG305">
            <v>5.7557999999999998</v>
          </cell>
          <cell r="DO305">
            <v>305</v>
          </cell>
        </row>
        <row r="306">
          <cell r="A306" t="str">
            <v>Salinas, CA Metro Area</v>
          </cell>
          <cell r="B306">
            <v>8260.888899675625</v>
          </cell>
          <cell r="C306">
            <v>7780.5758203142141</v>
          </cell>
          <cell r="D306">
            <v>14024.635435056915</v>
          </cell>
          <cell r="E306">
            <v>11836.994883834219</v>
          </cell>
          <cell r="F306">
            <v>517.76020000000005</v>
          </cell>
          <cell r="G306">
            <v>347.96249999999992</v>
          </cell>
          <cell r="H306">
            <v>787.32697046958219</v>
          </cell>
          <cell r="I306">
            <v>4350.5222873666326</v>
          </cell>
          <cell r="J306">
            <v>2344.0829447365868</v>
          </cell>
          <cell r="K306">
            <v>401.88487957064314</v>
          </cell>
          <cell r="L306">
            <v>9788.3132073814795</v>
          </cell>
          <cell r="M306">
            <v>8913.7889168042275</v>
          </cell>
          <cell r="N306">
            <v>1630.4497485783425</v>
          </cell>
          <cell r="O306">
            <v>1172.6072944401144</v>
          </cell>
          <cell r="P306">
            <v>3069.7892809347368</v>
          </cell>
          <cell r="Q306">
            <v>4180.7810173554781</v>
          </cell>
          <cell r="R306">
            <v>1251.3687949779212</v>
          </cell>
          <cell r="S306">
            <v>1349.1456566123429</v>
          </cell>
          <cell r="V306">
            <v>7181.8500999999997</v>
          </cell>
          <cell r="Z306">
            <v>249.62780000000001</v>
          </cell>
          <cell r="AA306">
            <v>27.614900000000002</v>
          </cell>
          <cell r="AD306">
            <v>6.8029000000000002</v>
          </cell>
          <cell r="AI306">
            <v>6149.2523991526896</v>
          </cell>
          <cell r="AS306">
            <v>2852.3221604694022</v>
          </cell>
          <cell r="BM306">
            <v>2.6682999999999999</v>
          </cell>
          <cell r="DO306">
            <v>306</v>
          </cell>
        </row>
        <row r="307">
          <cell r="A307" t="str">
            <v>Salisbury, MD Metro Area</v>
          </cell>
          <cell r="B307">
            <v>3812.011096525885</v>
          </cell>
          <cell r="C307">
            <v>2739.4265376228996</v>
          </cell>
          <cell r="D307">
            <v>942.90279873333884</v>
          </cell>
          <cell r="E307">
            <v>1260.2943</v>
          </cell>
          <cell r="F307">
            <v>273.22730150680815</v>
          </cell>
          <cell r="I307">
            <v>65.741200000000006</v>
          </cell>
          <cell r="J307">
            <v>60.137999999999998</v>
          </cell>
          <cell r="L307">
            <v>110.22403598420755</v>
          </cell>
          <cell r="M307">
            <v>146.31525553379041</v>
          </cell>
          <cell r="Q307">
            <v>553.60509999999999</v>
          </cell>
          <cell r="T307">
            <v>28.842999999999996</v>
          </cell>
          <cell r="X307">
            <v>37.388800000000003</v>
          </cell>
          <cell r="AB307">
            <v>56.317100000000003</v>
          </cell>
          <cell r="AE307">
            <v>410.23730000000006</v>
          </cell>
          <cell r="DO307">
            <v>307</v>
          </cell>
        </row>
        <row r="308">
          <cell r="A308" t="str">
            <v>Salt Lake City, UT Metro Area</v>
          </cell>
          <cell r="B308">
            <v>8628.8622920625494</v>
          </cell>
          <cell r="C308">
            <v>7045.7836922834285</v>
          </cell>
          <cell r="D308">
            <v>6243.7308141089261</v>
          </cell>
          <cell r="E308">
            <v>6181.3343090641592</v>
          </cell>
          <cell r="F308">
            <v>5013.2893921184077</v>
          </cell>
          <cell r="G308">
            <v>6493.3081312390768</v>
          </cell>
          <cell r="H308">
            <v>4985.1021338534156</v>
          </cell>
          <cell r="I308">
            <v>4919.7570835498109</v>
          </cell>
          <cell r="J308">
            <v>5102.3494342497352</v>
          </cell>
          <cell r="K308">
            <v>5450.1081124551029</v>
          </cell>
          <cell r="L308">
            <v>5353.0795939781292</v>
          </cell>
          <cell r="M308">
            <v>5039.0769818287727</v>
          </cell>
          <cell r="N308">
            <v>2903.0467724784694</v>
          </cell>
          <cell r="O308">
            <v>4403.2317506823838</v>
          </cell>
          <cell r="P308">
            <v>3181.8758311287911</v>
          </cell>
          <cell r="Q308">
            <v>2650.4250400690494</v>
          </cell>
          <cell r="R308">
            <v>2317.8826565656027</v>
          </cell>
          <cell r="S308">
            <v>2668.5693590420119</v>
          </cell>
          <cell r="T308">
            <v>2705.7752321189932</v>
          </cell>
          <cell r="U308">
            <v>550.22845688463588</v>
          </cell>
          <cell r="V308">
            <v>304.32993126271026</v>
          </cell>
          <cell r="W308">
            <v>307.95560881164107</v>
          </cell>
          <cell r="X308">
            <v>47.253700000000002</v>
          </cell>
          <cell r="Z308">
            <v>490.44450000000001</v>
          </cell>
          <cell r="AA308">
            <v>4049.5268448615161</v>
          </cell>
          <cell r="AB308">
            <v>2100.3917747853388</v>
          </cell>
          <cell r="AC308">
            <v>1914.9858772578432</v>
          </cell>
          <cell r="AF308">
            <v>0</v>
          </cell>
          <cell r="AG308">
            <v>15.920875169120572</v>
          </cell>
          <cell r="AH308">
            <v>529.9828</v>
          </cell>
          <cell r="AI308">
            <v>51.099600000000002</v>
          </cell>
          <cell r="AT308">
            <v>0.11129999999999998</v>
          </cell>
          <cell r="CK308">
            <v>0.43280000000000007</v>
          </cell>
          <cell r="DO308">
            <v>308</v>
          </cell>
        </row>
        <row r="309">
          <cell r="A309" t="str">
            <v>San Angelo, TX Metro Area</v>
          </cell>
          <cell r="B309">
            <v>1693.1938518724794</v>
          </cell>
          <cell r="C309">
            <v>3086.5241651166275</v>
          </cell>
          <cell r="D309">
            <v>2022.9310843572623</v>
          </cell>
          <cell r="E309">
            <v>2404.9772238586552</v>
          </cell>
          <cell r="F309">
            <v>2761.7684789957966</v>
          </cell>
          <cell r="H309">
            <v>160.5977</v>
          </cell>
          <cell r="I309">
            <v>10.2439</v>
          </cell>
          <cell r="J309">
            <v>7.2684691469293652</v>
          </cell>
          <cell r="K309">
            <v>180.1086</v>
          </cell>
          <cell r="AC309">
            <v>1.5206</v>
          </cell>
          <cell r="DO309">
            <v>309</v>
          </cell>
        </row>
        <row r="310">
          <cell r="A310" t="str">
            <v>San Antonio-New Braunfels, TX Metro Area</v>
          </cell>
          <cell r="B310">
            <v>7316.0464361070563</v>
          </cell>
          <cell r="C310">
            <v>5612.0634340352544</v>
          </cell>
          <cell r="D310">
            <v>6283.3308990457908</v>
          </cell>
          <cell r="E310">
            <v>6127.9950070363548</v>
          </cell>
          <cell r="F310">
            <v>4895.8970160120907</v>
          </cell>
          <cell r="G310">
            <v>4715.3431458164068</v>
          </cell>
          <cell r="H310">
            <v>3825.9668678969488</v>
          </cell>
          <cell r="I310">
            <v>3889.8623245598296</v>
          </cell>
          <cell r="J310">
            <v>5375.6002211709556</v>
          </cell>
          <cell r="K310">
            <v>3501.0160170068884</v>
          </cell>
          <cell r="L310">
            <v>4337.0643231367631</v>
          </cell>
          <cell r="M310">
            <v>4009.9450789435796</v>
          </cell>
          <cell r="N310">
            <v>5170.9418158422295</v>
          </cell>
          <cell r="O310">
            <v>3307.6702207490221</v>
          </cell>
          <cell r="P310">
            <v>2289.3124418499137</v>
          </cell>
          <cell r="Q310">
            <v>2150.8484043637754</v>
          </cell>
          <cell r="R310">
            <v>979.68920789508081</v>
          </cell>
          <cell r="S310">
            <v>1849.1044255580728</v>
          </cell>
          <cell r="T310">
            <v>1694.690357173831</v>
          </cell>
          <cell r="U310">
            <v>549.18249832411652</v>
          </cell>
          <cell r="V310">
            <v>608.53185044486986</v>
          </cell>
          <cell r="W310">
            <v>150.46832253979738</v>
          </cell>
          <cell r="X310">
            <v>260.14488868769473</v>
          </cell>
          <cell r="Y310">
            <v>150.20515906528121</v>
          </cell>
          <cell r="Z310">
            <v>125.05424897669934</v>
          </cell>
          <cell r="AA310">
            <v>137.66463392835308</v>
          </cell>
          <cell r="AB310">
            <v>157.17230000000001</v>
          </cell>
          <cell r="AC310">
            <v>892.60751769599995</v>
          </cell>
          <cell r="AD310">
            <v>1579.5444727427598</v>
          </cell>
          <cell r="AE310">
            <v>469.5827014077405</v>
          </cell>
          <cell r="AF310">
            <v>598.22430048354397</v>
          </cell>
          <cell r="AG310">
            <v>351.82185335100581</v>
          </cell>
          <cell r="AH310">
            <v>1536.4609101470319</v>
          </cell>
          <cell r="AI310">
            <v>1186.6810291043157</v>
          </cell>
          <cell r="AJ310">
            <v>788.45774950285033</v>
          </cell>
          <cell r="AK310">
            <v>98.625583646112602</v>
          </cell>
          <cell r="AL310">
            <v>60.928322906453225</v>
          </cell>
          <cell r="AM310">
            <v>115.9234</v>
          </cell>
          <cell r="AN310">
            <v>40.139909441330225</v>
          </cell>
          <cell r="AO310">
            <v>28.253750208689048</v>
          </cell>
          <cell r="AP310">
            <v>28.943684151638806</v>
          </cell>
          <cell r="AR310">
            <v>15.658200000000003</v>
          </cell>
          <cell r="AS310">
            <v>26.005400000000005</v>
          </cell>
          <cell r="AT310">
            <v>266.73059999999998</v>
          </cell>
          <cell r="AW310">
            <v>3.9897</v>
          </cell>
          <cell r="BE310">
            <v>5.7267999999999999</v>
          </cell>
          <cell r="DO310">
            <v>310</v>
          </cell>
        </row>
        <row r="311">
          <cell r="A311" t="str">
            <v>San Diego-Carlsbad-San Marcos, CA Metro Area</v>
          </cell>
          <cell r="B311">
            <v>13169.992504181453</v>
          </cell>
          <cell r="C311">
            <v>12744.686224858704</v>
          </cell>
          <cell r="D311">
            <v>10845.277682224785</v>
          </cell>
          <cell r="E311">
            <v>12693.891706870138</v>
          </cell>
          <cell r="F311">
            <v>13046.760664014066</v>
          </cell>
          <cell r="G311">
            <v>9412.7241024365376</v>
          </cell>
          <cell r="H311">
            <v>7767.1319335980952</v>
          </cell>
          <cell r="I311">
            <v>8312.4202583035221</v>
          </cell>
          <cell r="J311">
            <v>6524.5406759124753</v>
          </cell>
          <cell r="K311">
            <v>6375.2828695892786</v>
          </cell>
          <cell r="L311">
            <v>9251.4776105557467</v>
          </cell>
          <cell r="M311">
            <v>8220.3866728156208</v>
          </cell>
          <cell r="N311">
            <v>6874.7402422908208</v>
          </cell>
          <cell r="O311">
            <v>7036.5086380658522</v>
          </cell>
          <cell r="P311">
            <v>6091.6418174541595</v>
          </cell>
          <cell r="Q311">
            <v>4379.6078491261687</v>
          </cell>
          <cell r="R311">
            <v>4791.9131921252874</v>
          </cell>
          <cell r="S311">
            <v>3404.739687124827</v>
          </cell>
          <cell r="T311">
            <v>2932.5540336171139</v>
          </cell>
          <cell r="U311">
            <v>3152.502561797141</v>
          </cell>
          <cell r="V311">
            <v>2365.1463222326238</v>
          </cell>
          <cell r="W311">
            <v>1385.4484045202246</v>
          </cell>
          <cell r="X311">
            <v>4193.9353696903045</v>
          </cell>
          <cell r="Y311">
            <v>4059.9158648026141</v>
          </cell>
          <cell r="Z311">
            <v>1790.0512103118547</v>
          </cell>
          <cell r="AA311">
            <v>3347.9860743382183</v>
          </cell>
          <cell r="AB311">
            <v>3982.1128670409566</v>
          </cell>
          <cell r="AC311">
            <v>3763.9307152019587</v>
          </cell>
          <cell r="AD311">
            <v>3436.0896449679931</v>
          </cell>
          <cell r="AE311">
            <v>10317.264529388927</v>
          </cell>
          <cell r="AF311">
            <v>4730.9594339736968</v>
          </cell>
          <cell r="AG311">
            <v>2133.1213259554515</v>
          </cell>
          <cell r="AH311">
            <v>5217.7153941732568</v>
          </cell>
          <cell r="AI311">
            <v>5612.7577597740374</v>
          </cell>
          <cell r="AJ311">
            <v>9056.1430144801634</v>
          </cell>
          <cell r="AK311">
            <v>5148.2788868323714</v>
          </cell>
          <cell r="AL311">
            <v>4749.5390188554566</v>
          </cell>
          <cell r="AM311">
            <v>4350.2200919112183</v>
          </cell>
          <cell r="AN311">
            <v>4047.5551070360243</v>
          </cell>
          <cell r="AO311">
            <v>631.14967805960691</v>
          </cell>
          <cell r="AP311">
            <v>53.234400000000001</v>
          </cell>
          <cell r="AR311">
            <v>208.65110162285811</v>
          </cell>
          <cell r="AS311">
            <v>228.26046106267961</v>
          </cell>
          <cell r="AU311">
            <v>4965.1463082747305</v>
          </cell>
          <cell r="AV311">
            <v>3537.7504707170751</v>
          </cell>
          <cell r="AW311">
            <v>70.718288372946688</v>
          </cell>
          <cell r="BG311">
            <v>4.1700999999999997</v>
          </cell>
          <cell r="DO311">
            <v>311</v>
          </cell>
        </row>
        <row r="312">
          <cell r="A312" t="str">
            <v>Sandusky, OH Metro Area</v>
          </cell>
          <cell r="B312">
            <v>4550.0673605685333</v>
          </cell>
          <cell r="C312">
            <v>4574.1198279258251</v>
          </cell>
          <cell r="D312">
            <v>1386.6807033126631</v>
          </cell>
          <cell r="E312">
            <v>512.51771488083511</v>
          </cell>
          <cell r="H312">
            <v>203.3648</v>
          </cell>
          <cell r="I312">
            <v>2328.779</v>
          </cell>
          <cell r="J312">
            <v>288.577</v>
          </cell>
          <cell r="K312">
            <v>80.523899999999998</v>
          </cell>
          <cell r="Q312">
            <v>109.0675</v>
          </cell>
          <cell r="R312">
            <v>221.6892</v>
          </cell>
          <cell r="S312">
            <v>1512.5356999999999</v>
          </cell>
          <cell r="DO312">
            <v>312</v>
          </cell>
        </row>
        <row r="313">
          <cell r="A313" t="str">
            <v>San Francisco-Oakland-Fremont, CA Metro Area</v>
          </cell>
          <cell r="B313">
            <v>58805.278682995762</v>
          </cell>
          <cell r="C313">
            <v>32013.414535109256</v>
          </cell>
          <cell r="D313">
            <v>21485.582309262361</v>
          </cell>
          <cell r="E313">
            <v>21288.971108270089</v>
          </cell>
          <cell r="F313">
            <v>21534.979551218417</v>
          </cell>
          <cell r="G313">
            <v>18626.350916800486</v>
          </cell>
          <cell r="H313">
            <v>12378.233975254549</v>
          </cell>
          <cell r="I313">
            <v>9990.1690966771985</v>
          </cell>
          <cell r="J313">
            <v>12459.212221641392</v>
          </cell>
          <cell r="K313">
            <v>14391.835986020329</v>
          </cell>
          <cell r="L313">
            <v>13597.499840444805</v>
          </cell>
          <cell r="M313">
            <v>13929.962911635173</v>
          </cell>
          <cell r="N313">
            <v>9276.0884440091777</v>
          </cell>
          <cell r="O313">
            <v>11642.481112268048</v>
          </cell>
          <cell r="P313">
            <v>6979.8749366973952</v>
          </cell>
          <cell r="Q313">
            <v>6285.1365883722356</v>
          </cell>
          <cell r="R313">
            <v>5322.9231678137785</v>
          </cell>
          <cell r="S313">
            <v>6901.4018917623052</v>
          </cell>
          <cell r="T313">
            <v>7519.8745109994397</v>
          </cell>
          <cell r="U313">
            <v>5454.390952805762</v>
          </cell>
          <cell r="V313">
            <v>6451.3596035720475</v>
          </cell>
          <cell r="W313">
            <v>6160.231984314818</v>
          </cell>
          <cell r="X313">
            <v>4522.5491292879651</v>
          </cell>
          <cell r="Y313">
            <v>8162.932088562181</v>
          </cell>
          <cell r="Z313">
            <v>7343.5132653003875</v>
          </cell>
          <cell r="AA313">
            <v>5596.9019074907974</v>
          </cell>
          <cell r="AB313">
            <v>7069.1178040134237</v>
          </cell>
          <cell r="AC313">
            <v>5953.0864462600966</v>
          </cell>
          <cell r="AD313">
            <v>4336.3676901158287</v>
          </cell>
          <cell r="AE313">
            <v>5425.647643327733</v>
          </cell>
          <cell r="AF313">
            <v>5420.434672258355</v>
          </cell>
          <cell r="AG313">
            <v>4651.8040073750244</v>
          </cell>
          <cell r="AH313">
            <v>3429.6482979819152</v>
          </cell>
          <cell r="AI313">
            <v>4950.7170582846602</v>
          </cell>
          <cell r="AJ313">
            <v>2851.1916884078632</v>
          </cell>
          <cell r="AK313">
            <v>7029.2667335014257</v>
          </cell>
          <cell r="AL313">
            <v>3691.5838543328468</v>
          </cell>
          <cell r="AM313">
            <v>4762.0885435887376</v>
          </cell>
          <cell r="AN313">
            <v>3086.1032927428641</v>
          </cell>
          <cell r="AO313">
            <v>2522.4502839281672</v>
          </cell>
          <cell r="AP313">
            <v>4036.301347469845</v>
          </cell>
          <cell r="AQ313">
            <v>1870.2940545085492</v>
          </cell>
          <cell r="AR313">
            <v>1064.3544999999999</v>
          </cell>
          <cell r="AS313">
            <v>43.956800000000001</v>
          </cell>
          <cell r="AT313">
            <v>388.37909999999999</v>
          </cell>
          <cell r="AU313">
            <v>1651.6264391320406</v>
          </cell>
          <cell r="DO313">
            <v>313</v>
          </cell>
        </row>
        <row r="314">
          <cell r="A314" t="str">
            <v>San Jose-Sunnyvale-Santa Clara, CA Metro Area</v>
          </cell>
          <cell r="B314">
            <v>18152.830194002639</v>
          </cell>
          <cell r="C314">
            <v>10584.627784964914</v>
          </cell>
          <cell r="D314">
            <v>11066.543835191887</v>
          </cell>
          <cell r="E314">
            <v>9861.5088773612897</v>
          </cell>
          <cell r="F314">
            <v>10175.133536596823</v>
          </cell>
          <cell r="G314">
            <v>9216.2432535667322</v>
          </cell>
          <cell r="H314">
            <v>8630.2275373886459</v>
          </cell>
          <cell r="I314">
            <v>7641.0825648211576</v>
          </cell>
          <cell r="J314">
            <v>6925.5786033872309</v>
          </cell>
          <cell r="K314">
            <v>5662.3698681486139</v>
          </cell>
          <cell r="L314">
            <v>5232.2750639131882</v>
          </cell>
          <cell r="M314">
            <v>7452.6026036552139</v>
          </cell>
          <cell r="N314">
            <v>10060.242304192319</v>
          </cell>
          <cell r="O314">
            <v>4943.0993808803823</v>
          </cell>
          <cell r="P314">
            <v>7875.3588246693425</v>
          </cell>
          <cell r="Q314">
            <v>5345.1378000164268</v>
          </cell>
          <cell r="R314">
            <v>7633.4607495997279</v>
          </cell>
          <cell r="S314">
            <v>5344.3565000000008</v>
          </cell>
          <cell r="T314">
            <v>2426.6612048702777</v>
          </cell>
          <cell r="U314">
            <v>2845.3059461571929</v>
          </cell>
          <cell r="V314">
            <v>1645.3518619071597</v>
          </cell>
          <cell r="W314">
            <v>3003.4708999999998</v>
          </cell>
          <cell r="Y314">
            <v>170.02511427949025</v>
          </cell>
          <cell r="Z314">
            <v>299.55189999999999</v>
          </cell>
          <cell r="AB314">
            <v>1469.6822999999999</v>
          </cell>
          <cell r="AC314">
            <v>7700.6705557113219</v>
          </cell>
          <cell r="AD314">
            <v>5145.9480718949044</v>
          </cell>
          <cell r="AE314">
            <v>1297.844443669105</v>
          </cell>
          <cell r="AN314">
            <v>90.841899999999995</v>
          </cell>
          <cell r="AP314">
            <v>32.850200000000001</v>
          </cell>
          <cell r="AR314">
            <v>3519.6933560361281</v>
          </cell>
          <cell r="AS314">
            <v>4381.3966158735766</v>
          </cell>
          <cell r="AT314">
            <v>5539.7672205221706</v>
          </cell>
          <cell r="AV314">
            <v>921.17589999999996</v>
          </cell>
          <cell r="BC314">
            <v>2.1966999999999999</v>
          </cell>
          <cell r="DO314">
            <v>314</v>
          </cell>
        </row>
        <row r="315">
          <cell r="A315" t="str">
            <v>San Luis Obispo-Paso Robles, CA Metro Area</v>
          </cell>
          <cell r="B315">
            <v>5107.8670346720537</v>
          </cell>
          <cell r="C315">
            <v>1329.4652259599579</v>
          </cell>
          <cell r="D315">
            <v>1674.4071332649025</v>
          </cell>
          <cell r="E315">
            <v>12432.911400000001</v>
          </cell>
          <cell r="G315">
            <v>66.015699999999995</v>
          </cell>
          <cell r="J315">
            <v>2566.4430000000002</v>
          </cell>
          <cell r="K315">
            <v>1288.8141545197739</v>
          </cell>
          <cell r="L315">
            <v>2831.4939284972597</v>
          </cell>
          <cell r="M315">
            <v>3245.4093253247811</v>
          </cell>
          <cell r="N315">
            <v>3206.2919631772324</v>
          </cell>
          <cell r="O315">
            <v>1700.4625764163875</v>
          </cell>
          <cell r="P315">
            <v>2644.2743999999998</v>
          </cell>
          <cell r="Q315">
            <v>1716.1747000000003</v>
          </cell>
          <cell r="R315">
            <v>294.4989363589122</v>
          </cell>
          <cell r="S315">
            <v>143.8603379750466</v>
          </cell>
          <cell r="T315">
            <v>7.1853999999999996</v>
          </cell>
          <cell r="U315">
            <v>1479.2742000000001</v>
          </cell>
          <cell r="V315">
            <v>1414.8115</v>
          </cell>
          <cell r="X315">
            <v>2740.3453105507037</v>
          </cell>
          <cell r="Y315">
            <v>4565.8103000000001</v>
          </cell>
          <cell r="Z315">
            <v>1583.3529496237272</v>
          </cell>
          <cell r="AA315">
            <v>15.501799999999998</v>
          </cell>
          <cell r="AE315">
            <v>46.128500000000003</v>
          </cell>
          <cell r="AF315">
            <v>738.78330000000005</v>
          </cell>
          <cell r="AG315">
            <v>471.03299999999996</v>
          </cell>
          <cell r="AI315">
            <v>15.132299999999999</v>
          </cell>
          <cell r="DO315">
            <v>315</v>
          </cell>
        </row>
        <row r="316">
          <cell r="A316" t="str">
            <v>Santa Barbara-Santa Maria-Goleta, CA Metro Area</v>
          </cell>
          <cell r="B316">
            <v>12754.009211360946</v>
          </cell>
          <cell r="C316">
            <v>7221.8739277422537</v>
          </cell>
          <cell r="D316">
            <v>2534.1157618228312</v>
          </cell>
          <cell r="E316">
            <v>4063.3087850874149</v>
          </cell>
          <cell r="F316">
            <v>2444.9598168064053</v>
          </cell>
          <cell r="G316">
            <v>4532.6323573188456</v>
          </cell>
          <cell r="H316">
            <v>4329.4146000000001</v>
          </cell>
          <cell r="I316">
            <v>2758.7795267949209</v>
          </cell>
          <cell r="J316">
            <v>1186.2244332299917</v>
          </cell>
          <cell r="K316">
            <v>20522.663873842834</v>
          </cell>
          <cell r="L316">
            <v>4672.9411265176113</v>
          </cell>
          <cell r="M316">
            <v>1066.1115</v>
          </cell>
          <cell r="O316">
            <v>27.921500000000002</v>
          </cell>
          <cell r="Z316">
            <v>55.522799999999989</v>
          </cell>
          <cell r="AC316">
            <v>25.849900000000005</v>
          </cell>
          <cell r="AD316">
            <v>635.95190000000002</v>
          </cell>
          <cell r="AF316">
            <v>5.62E-2</v>
          </cell>
          <cell r="AI316">
            <v>41.700969171270721</v>
          </cell>
          <cell r="AT316">
            <v>16.7638</v>
          </cell>
          <cell r="AU316">
            <v>6063.5659961059364</v>
          </cell>
          <cell r="AV316">
            <v>8048.4405435025819</v>
          </cell>
          <cell r="AW316">
            <v>2768.7417</v>
          </cell>
          <cell r="AX316">
            <v>563.20150000000001</v>
          </cell>
          <cell r="AY316">
            <v>355.94403521126765</v>
          </cell>
          <cell r="BA316">
            <v>3272.1818541211733</v>
          </cell>
          <cell r="BB316">
            <v>3276.6722248183942</v>
          </cell>
          <cell r="BC316">
            <v>3841.6166099585062</v>
          </cell>
          <cell r="BD316">
            <v>1878.1152348251558</v>
          </cell>
          <cell r="BE316">
            <v>7267.7788594719286</v>
          </cell>
          <cell r="BF316">
            <v>12372.915853542563</v>
          </cell>
          <cell r="BG316">
            <v>7428.9906383722346</v>
          </cell>
          <cell r="BL316">
            <v>115.9199</v>
          </cell>
          <cell r="DO316">
            <v>316</v>
          </cell>
        </row>
        <row r="317">
          <cell r="A317" t="str">
            <v>Santa Cruz-Watsonville, CA Metro Area</v>
          </cell>
          <cell r="B317">
            <v>7973.3445593890083</v>
          </cell>
          <cell r="C317">
            <v>5444.145379158912</v>
          </cell>
          <cell r="D317">
            <v>5770.5543772926803</v>
          </cell>
          <cell r="E317">
            <v>5287.3561098247546</v>
          </cell>
          <cell r="F317">
            <v>2122.3458963596954</v>
          </cell>
          <cell r="G317">
            <v>1478.3896419947507</v>
          </cell>
          <cell r="H317">
            <v>3724.8314</v>
          </cell>
          <cell r="I317">
            <v>923.87499855487386</v>
          </cell>
          <cell r="J317">
            <v>1565.2595759507776</v>
          </cell>
          <cell r="K317">
            <v>38.018900000000002</v>
          </cell>
          <cell r="L317">
            <v>119.49579999999999</v>
          </cell>
          <cell r="M317">
            <v>244.04400000000001</v>
          </cell>
          <cell r="N317">
            <v>301.06910263980268</v>
          </cell>
          <cell r="O317">
            <v>816.88367063858925</v>
          </cell>
          <cell r="P317">
            <v>8275.1165046475271</v>
          </cell>
          <cell r="Q317">
            <v>7502.9437491265226</v>
          </cell>
          <cell r="R317">
            <v>7880.0482999999995</v>
          </cell>
          <cell r="S317">
            <v>61.617800000000003</v>
          </cell>
          <cell r="DO317">
            <v>317</v>
          </cell>
        </row>
        <row r="318">
          <cell r="A318" t="str">
            <v>Santa Fe, NM Metro Area</v>
          </cell>
          <cell r="B318">
            <v>2012.2993004664086</v>
          </cell>
          <cell r="C318">
            <v>2239.456516651876</v>
          </cell>
          <cell r="D318">
            <v>2734.0379666861099</v>
          </cell>
          <cell r="E318">
            <v>3555.5329056369364</v>
          </cell>
          <cell r="F318">
            <v>2456.364214474565</v>
          </cell>
          <cell r="G318">
            <v>2823.5419174190347</v>
          </cell>
          <cell r="H318">
            <v>2524.3419721804507</v>
          </cell>
          <cell r="I318">
            <v>2284.9926154843738</v>
          </cell>
          <cell r="J318">
            <v>1774.274710300429</v>
          </cell>
          <cell r="K318">
            <v>123.5142678295997</v>
          </cell>
          <cell r="L318">
            <v>174.68892960581965</v>
          </cell>
          <cell r="M318">
            <v>920.11429999999996</v>
          </cell>
          <cell r="N318">
            <v>43.136699999999998</v>
          </cell>
          <cell r="P318">
            <v>91.732129069126955</v>
          </cell>
          <cell r="R318">
            <v>29.510699999999996</v>
          </cell>
          <cell r="S318">
            <v>4.0361000000000002</v>
          </cell>
          <cell r="V318">
            <v>42.135399999999997</v>
          </cell>
          <cell r="X318">
            <v>769.30709999999999</v>
          </cell>
          <cell r="AO318">
            <v>3.4838</v>
          </cell>
          <cell r="AQ318">
            <v>70.150300000000001</v>
          </cell>
          <cell r="AU318">
            <v>190.232</v>
          </cell>
          <cell r="DO318">
            <v>318</v>
          </cell>
        </row>
        <row r="319">
          <cell r="A319" t="str">
            <v>Santa Rosa-Petaluma, CA Metro Area</v>
          </cell>
          <cell r="B319">
            <v>6582.0370606401257</v>
          </cell>
          <cell r="C319">
            <v>6498.1047749006311</v>
          </cell>
          <cell r="D319">
            <v>3604.96823475474</v>
          </cell>
          <cell r="E319">
            <v>3866.4587603192563</v>
          </cell>
          <cell r="F319">
            <v>306.85707415986468</v>
          </cell>
          <cell r="G319">
            <v>1720.3155731694808</v>
          </cell>
          <cell r="H319">
            <v>4904.374056461641</v>
          </cell>
          <cell r="I319">
            <v>3089.5236595762112</v>
          </cell>
          <cell r="K319">
            <v>1900.4904037509762</v>
          </cell>
          <cell r="L319">
            <v>190.03231586244289</v>
          </cell>
          <cell r="N319">
            <v>3186.7854245457897</v>
          </cell>
          <cell r="O319">
            <v>3779.5305302371826</v>
          </cell>
          <cell r="P319">
            <v>3091.7000600100837</v>
          </cell>
          <cell r="Q319">
            <v>2311.8052564457366</v>
          </cell>
          <cell r="R319">
            <v>214.64652061938597</v>
          </cell>
          <cell r="S319">
            <v>3012.2992598557989</v>
          </cell>
          <cell r="U319">
            <v>38.931399999999996</v>
          </cell>
          <cell r="V319">
            <v>16.658899999999999</v>
          </cell>
          <cell r="Y319">
            <v>6.9949000000000012</v>
          </cell>
          <cell r="AE319">
            <v>88.879599999999996</v>
          </cell>
          <cell r="AF319">
            <v>381.87459999999999</v>
          </cell>
          <cell r="AQ319">
            <v>33.286799999999999</v>
          </cell>
          <cell r="DO319">
            <v>319</v>
          </cell>
        </row>
        <row r="320">
          <cell r="A320" t="str">
            <v>Savannah, GA Metro Area</v>
          </cell>
          <cell r="B320">
            <v>6000.0526589782121</v>
          </cell>
          <cell r="C320">
            <v>6050.5485586142031</v>
          </cell>
          <cell r="D320">
            <v>4579.6300042302109</v>
          </cell>
          <cell r="E320">
            <v>3191.6265498654784</v>
          </cell>
          <cell r="F320">
            <v>1533.8776722947434</v>
          </cell>
          <cell r="G320">
            <v>974.76325799973824</v>
          </cell>
          <cell r="H320">
            <v>2805.6901722180232</v>
          </cell>
          <cell r="I320">
            <v>2322.5363586218323</v>
          </cell>
          <cell r="J320">
            <v>1623.9900418523075</v>
          </cell>
          <cell r="K320">
            <v>460.7335161999282</v>
          </cell>
          <cell r="L320">
            <v>436.37654211109816</v>
          </cell>
          <cell r="M320">
            <v>188.74825229529065</v>
          </cell>
          <cell r="N320">
            <v>189.0729</v>
          </cell>
          <cell r="P320">
            <v>196.54872847552633</v>
          </cell>
          <cell r="Q320">
            <v>312.54703251157281</v>
          </cell>
          <cell r="R320">
            <v>978.18887008190131</v>
          </cell>
          <cell r="T320">
            <v>122.99344327739944</v>
          </cell>
          <cell r="U320">
            <v>103.5311</v>
          </cell>
          <cell r="V320">
            <v>72.752799999999993</v>
          </cell>
          <cell r="W320">
            <v>161.71270000000001</v>
          </cell>
          <cell r="Y320">
            <v>96.593100000000007</v>
          </cell>
          <cell r="Z320">
            <v>82.391900000000007</v>
          </cell>
          <cell r="AA320">
            <v>80.082999999999998</v>
          </cell>
          <cell r="AE320">
            <v>55.071100000000008</v>
          </cell>
          <cell r="AG320">
            <v>19.480699999999999</v>
          </cell>
          <cell r="DO320">
            <v>320</v>
          </cell>
        </row>
        <row r="321">
          <cell r="A321" t="str">
            <v>Scranton--Wilkes-Barre, PA Metro Area</v>
          </cell>
          <cell r="B321">
            <v>9141.8043980075818</v>
          </cell>
          <cell r="C321">
            <v>6242.3078390247847</v>
          </cell>
          <cell r="D321">
            <v>2018.1967349896345</v>
          </cell>
          <cell r="E321">
            <v>795.30101030402864</v>
          </cell>
          <cell r="F321">
            <v>1956.7269833837722</v>
          </cell>
          <cell r="G321">
            <v>628.98501884994346</v>
          </cell>
          <cell r="H321">
            <v>1640.4745770824509</v>
          </cell>
          <cell r="I321">
            <v>529.01142131135691</v>
          </cell>
          <cell r="J321">
            <v>1642.6522728363168</v>
          </cell>
          <cell r="K321">
            <v>2536.460959126417</v>
          </cell>
          <cell r="L321">
            <v>707.19155949779031</v>
          </cell>
          <cell r="M321">
            <v>1049.1069722821101</v>
          </cell>
          <cell r="N321">
            <v>1012.2514084640688</v>
          </cell>
          <cell r="O321">
            <v>1869.280730855078</v>
          </cell>
          <cell r="P321">
            <v>2343.0516880040223</v>
          </cell>
          <cell r="Q321">
            <v>4496.0870500880192</v>
          </cell>
          <cell r="R321">
            <v>4445.5706265263343</v>
          </cell>
          <cell r="S321">
            <v>3468.3301397443724</v>
          </cell>
          <cell r="T321">
            <v>2630.3440527784637</v>
          </cell>
          <cell r="U321">
            <v>1923.579095817217</v>
          </cell>
          <cell r="V321">
            <v>526.86007004934095</v>
          </cell>
          <cell r="W321">
            <v>54.535797584703118</v>
          </cell>
          <cell r="X321">
            <v>2952.8010395220122</v>
          </cell>
          <cell r="Y321">
            <v>1811.3488674440298</v>
          </cell>
          <cell r="AA321">
            <v>320.66989999999998</v>
          </cell>
          <cell r="AB321">
            <v>115.7237866614786</v>
          </cell>
          <cell r="AC321">
            <v>71.647674058776801</v>
          </cell>
          <cell r="AD321">
            <v>78.954499999999996</v>
          </cell>
          <cell r="AE321">
            <v>3363.4895339314548</v>
          </cell>
          <cell r="AF321">
            <v>276.4006</v>
          </cell>
          <cell r="AG321">
            <v>1854.2778000000001</v>
          </cell>
          <cell r="AI321">
            <v>164.33474893848009</v>
          </cell>
          <cell r="AJ321">
            <v>3965.5134537071081</v>
          </cell>
          <cell r="AK321">
            <v>6085.9644366995844</v>
          </cell>
          <cell r="AL321">
            <v>146.74180000000001</v>
          </cell>
          <cell r="AM321">
            <v>76.925200000000004</v>
          </cell>
          <cell r="AP321">
            <v>82.630600000000001</v>
          </cell>
          <cell r="DO321">
            <v>321</v>
          </cell>
        </row>
        <row r="322">
          <cell r="A322" t="str">
            <v>Seattle-Tacoma-Bellevue, WA Metro Area</v>
          </cell>
          <cell r="B322">
            <v>22070.442093841888</v>
          </cell>
          <cell r="C322">
            <v>17819.314334825693</v>
          </cell>
          <cell r="D322">
            <v>10129.835770042697</v>
          </cell>
          <cell r="E322">
            <v>8376.7021529148951</v>
          </cell>
          <cell r="F322">
            <v>9607.7892062122701</v>
          </cell>
          <cell r="G322">
            <v>7928.3818843533845</v>
          </cell>
          <cell r="H322">
            <v>6750.0880062761498</v>
          </cell>
          <cell r="I322">
            <v>5246.303210103647</v>
          </cell>
          <cell r="J322">
            <v>4815.2906041146098</v>
          </cell>
          <cell r="K322">
            <v>4919.6212421246819</v>
          </cell>
          <cell r="L322">
            <v>4326.7152391660329</v>
          </cell>
          <cell r="M322">
            <v>4220.6072321143829</v>
          </cell>
          <cell r="N322">
            <v>3629.8102148773555</v>
          </cell>
          <cell r="O322">
            <v>3449.850619255456</v>
          </cell>
          <cell r="P322">
            <v>3581.8832552342283</v>
          </cell>
          <cell r="Q322">
            <v>4215.8382848638057</v>
          </cell>
          <cell r="R322">
            <v>3035.6104522759729</v>
          </cell>
          <cell r="S322">
            <v>6133.0879821634162</v>
          </cell>
          <cell r="T322">
            <v>3468.9016138112261</v>
          </cell>
          <cell r="U322">
            <v>3548.5106598012658</v>
          </cell>
          <cell r="V322">
            <v>4006.220756506365</v>
          </cell>
          <cell r="W322">
            <v>3609.9374525262256</v>
          </cell>
          <cell r="X322">
            <v>3259.0314559024005</v>
          </cell>
          <cell r="Y322">
            <v>3608.71441397323</v>
          </cell>
          <cell r="Z322">
            <v>3507.9242671217867</v>
          </cell>
          <cell r="AA322">
            <v>3393.437945030711</v>
          </cell>
          <cell r="AB322">
            <v>3398.224939015563</v>
          </cell>
          <cell r="AC322">
            <v>3191.3593934493538</v>
          </cell>
          <cell r="AD322">
            <v>3347.4041000639932</v>
          </cell>
          <cell r="AE322">
            <v>3144.8421975047959</v>
          </cell>
          <cell r="AF322">
            <v>3342.5527078545801</v>
          </cell>
          <cell r="AG322">
            <v>2813.6089050174282</v>
          </cell>
          <cell r="AH322">
            <v>2846.5718258161037</v>
          </cell>
          <cell r="AI322">
            <v>2104.7765544563185</v>
          </cell>
          <cell r="AJ322">
            <v>3022.5983957193516</v>
          </cell>
          <cell r="AK322">
            <v>1769.6126420959035</v>
          </cell>
          <cell r="AL322">
            <v>2274.9394515302661</v>
          </cell>
          <cell r="AM322">
            <v>1275.9032697230791</v>
          </cell>
          <cell r="AN322">
            <v>675.54763733269306</v>
          </cell>
          <cell r="AO322">
            <v>1220.7731653296382</v>
          </cell>
          <cell r="AP322">
            <v>588.91420000000005</v>
          </cell>
          <cell r="AQ322">
            <v>1382.1676</v>
          </cell>
          <cell r="AR322">
            <v>85.149600000000007</v>
          </cell>
          <cell r="AS322">
            <v>168.91361251547241</v>
          </cell>
          <cell r="AT322">
            <v>348.44745508583571</v>
          </cell>
          <cell r="AU322">
            <v>161.58920000000001</v>
          </cell>
          <cell r="AW322">
            <v>83.301199999999994</v>
          </cell>
          <cell r="BA322">
            <v>29.405399999999997</v>
          </cell>
          <cell r="BE322">
            <v>4.7061000000000002</v>
          </cell>
          <cell r="DO322">
            <v>322</v>
          </cell>
        </row>
        <row r="323">
          <cell r="A323" t="str">
            <v>Sebastian-Vero Beach, FL Metro Area</v>
          </cell>
          <cell r="B323">
            <v>741.85730000000001</v>
          </cell>
          <cell r="C323">
            <v>1473.5824</v>
          </cell>
          <cell r="D323">
            <v>1812.2648999999999</v>
          </cell>
          <cell r="E323">
            <v>1344.7739588807785</v>
          </cell>
          <cell r="H323">
            <v>225.34969999999998</v>
          </cell>
          <cell r="I323">
            <v>380.97668817214162</v>
          </cell>
          <cell r="J323">
            <v>21.198699999999999</v>
          </cell>
          <cell r="L323">
            <v>1202.5646650047433</v>
          </cell>
          <cell r="M323">
            <v>1081.7012999999999</v>
          </cell>
          <cell r="N323">
            <v>1331.5466845480264</v>
          </cell>
          <cell r="O323">
            <v>1584.9510349348097</v>
          </cell>
          <cell r="P323">
            <v>2659.7114343986627</v>
          </cell>
          <cell r="Q323">
            <v>1270.6418927520783</v>
          </cell>
          <cell r="R323">
            <v>1215.201</v>
          </cell>
          <cell r="S323">
            <v>1902.7158379060679</v>
          </cell>
          <cell r="T323">
            <v>1117.46</v>
          </cell>
          <cell r="DO323">
            <v>323</v>
          </cell>
        </row>
        <row r="324">
          <cell r="A324" t="str">
            <v>Sheboygan, WI Metro Area</v>
          </cell>
          <cell r="B324">
            <v>6826.5278861800289</v>
          </cell>
          <cell r="C324">
            <v>3141.1458818598985</v>
          </cell>
          <cell r="D324">
            <v>3462.2486364155047</v>
          </cell>
          <cell r="E324">
            <v>556.95410000000004</v>
          </cell>
          <cell r="F324">
            <v>155.1917</v>
          </cell>
          <cell r="G324">
            <v>2134.3208</v>
          </cell>
          <cell r="H324">
            <v>114.58329999999999</v>
          </cell>
          <cell r="J324">
            <v>201.06559525208027</v>
          </cell>
          <cell r="K324">
            <v>88.258899999999997</v>
          </cell>
          <cell r="M324">
            <v>160.25239999999999</v>
          </cell>
          <cell r="N324">
            <v>223.876</v>
          </cell>
          <cell r="O324">
            <v>458.46230000000003</v>
          </cell>
          <cell r="P324">
            <v>77.335800000000006</v>
          </cell>
          <cell r="Q324">
            <v>89.346400000000003</v>
          </cell>
          <cell r="S324">
            <v>100.7102</v>
          </cell>
          <cell r="T324">
            <v>35.661200000000001</v>
          </cell>
          <cell r="V324">
            <v>57.826799999999999</v>
          </cell>
          <cell r="DO324">
            <v>324</v>
          </cell>
        </row>
        <row r="325">
          <cell r="A325" t="str">
            <v>Sherman-Denison, TX Metro Area</v>
          </cell>
          <cell r="B325">
            <v>1964.2502999999999</v>
          </cell>
          <cell r="C325">
            <v>1736.7288744663103</v>
          </cell>
          <cell r="D325">
            <v>536.7799</v>
          </cell>
          <cell r="E325">
            <v>77.173400000000001</v>
          </cell>
          <cell r="G325">
            <v>226.19069999999999</v>
          </cell>
          <cell r="I325">
            <v>889.54712203780286</v>
          </cell>
          <cell r="J325">
            <v>1852.0061999999998</v>
          </cell>
          <cell r="K325">
            <v>439.81808611095687</v>
          </cell>
          <cell r="M325">
            <v>72.107600000000005</v>
          </cell>
          <cell r="N325">
            <v>44.750599999999999</v>
          </cell>
          <cell r="O325">
            <v>61.634399999999999</v>
          </cell>
          <cell r="P325">
            <v>170.63453219327897</v>
          </cell>
          <cell r="R325">
            <v>101.00879999999999</v>
          </cell>
          <cell r="S325">
            <v>34.6755</v>
          </cell>
          <cell r="DO325">
            <v>325</v>
          </cell>
        </row>
        <row r="326">
          <cell r="A326" t="str">
            <v>Shreveport-Bossier City, LA Metro Area</v>
          </cell>
          <cell r="B326">
            <v>854.79830000000004</v>
          </cell>
          <cell r="C326">
            <v>3766.547918763496</v>
          </cell>
          <cell r="D326">
            <v>3085.4974447626582</v>
          </cell>
          <cell r="E326">
            <v>3240.3841332892416</v>
          </cell>
          <cell r="F326">
            <v>1828.9994441671033</v>
          </cell>
          <cell r="G326">
            <v>2698.5369876590066</v>
          </cell>
          <cell r="H326">
            <v>1209.1518893923158</v>
          </cell>
          <cell r="I326">
            <v>1645.1002682153739</v>
          </cell>
          <cell r="J326">
            <v>886.51608418935712</v>
          </cell>
          <cell r="K326">
            <v>1235.0972316808814</v>
          </cell>
          <cell r="L326">
            <v>235.80474395317566</v>
          </cell>
          <cell r="M326">
            <v>153.27033453873207</v>
          </cell>
          <cell r="N326">
            <v>197.5535480005785</v>
          </cell>
          <cell r="O326">
            <v>144.28378720825853</v>
          </cell>
          <cell r="P326">
            <v>59.956486492024005</v>
          </cell>
          <cell r="S326">
            <v>59.711399999999998</v>
          </cell>
          <cell r="U326">
            <v>53.120399999999997</v>
          </cell>
          <cell r="Y326">
            <v>17.476800000000001</v>
          </cell>
          <cell r="Z326">
            <v>33.578200000000002</v>
          </cell>
          <cell r="AD326">
            <v>218.28475575193795</v>
          </cell>
          <cell r="AG326">
            <v>18.5885</v>
          </cell>
          <cell r="AH326">
            <v>113.19110000000001</v>
          </cell>
          <cell r="AI326">
            <v>165.3973</v>
          </cell>
          <cell r="AJ326">
            <v>34.1090255524432</v>
          </cell>
          <cell r="AQ326">
            <v>11.674200000000001</v>
          </cell>
          <cell r="DO326">
            <v>326</v>
          </cell>
        </row>
        <row r="327">
          <cell r="A327" t="str">
            <v>Sioux City, IA-NE-SD Metro Area</v>
          </cell>
          <cell r="B327">
            <v>6994.7134453567151</v>
          </cell>
          <cell r="C327">
            <v>4553.1715758541623</v>
          </cell>
          <cell r="D327">
            <v>2157.2753727064223</v>
          </cell>
          <cell r="E327">
            <v>1651.1890243085788</v>
          </cell>
          <cell r="F327">
            <v>1503.0083713620604</v>
          </cell>
          <cell r="H327">
            <v>109.81067922210849</v>
          </cell>
          <cell r="N327">
            <v>14.547599999999999</v>
          </cell>
          <cell r="P327">
            <v>25.733899999999998</v>
          </cell>
          <cell r="U327">
            <v>17.778530939226521</v>
          </cell>
          <cell r="V327">
            <v>9.7543000000000006</v>
          </cell>
          <cell r="AA327">
            <v>16.174199999999999</v>
          </cell>
          <cell r="AG327">
            <v>13.555300000000001</v>
          </cell>
          <cell r="AO327">
            <v>15.868400000000001</v>
          </cell>
          <cell r="DO327">
            <v>327</v>
          </cell>
        </row>
        <row r="328">
          <cell r="A328" t="str">
            <v>Sioux Falls, SD Metro Area</v>
          </cell>
          <cell r="B328">
            <v>4957.4464765779358</v>
          </cell>
          <cell r="C328">
            <v>3418.5028669717726</v>
          </cell>
          <cell r="D328">
            <v>3433.2349455354615</v>
          </cell>
          <cell r="E328">
            <v>2474.842647609858</v>
          </cell>
          <cell r="F328">
            <v>2487.7139102253482</v>
          </cell>
          <cell r="G328">
            <v>3341.1755820795997</v>
          </cell>
          <cell r="H328">
            <v>65.179929655280972</v>
          </cell>
          <cell r="I328">
            <v>409.38443776428721</v>
          </cell>
          <cell r="J328">
            <v>645.86849807376757</v>
          </cell>
          <cell r="K328">
            <v>25.300638941321296</v>
          </cell>
          <cell r="L328">
            <v>33.2209</v>
          </cell>
          <cell r="N328">
            <v>39.360300000000002</v>
          </cell>
          <cell r="P328">
            <v>34.699652595117662</v>
          </cell>
          <cell r="S328">
            <v>12.742599999999999</v>
          </cell>
          <cell r="T328">
            <v>86.986700000000013</v>
          </cell>
          <cell r="U328">
            <v>164.85759999999999</v>
          </cell>
          <cell r="Y328">
            <v>14.6846</v>
          </cell>
          <cell r="AC328">
            <v>9.6316000000000006</v>
          </cell>
          <cell r="AF328">
            <v>11.188134216502648</v>
          </cell>
          <cell r="AI328">
            <v>10.667499999999999</v>
          </cell>
          <cell r="DO328">
            <v>328</v>
          </cell>
        </row>
        <row r="329">
          <cell r="A329" t="str">
            <v>South Bend-Mishawaka, IN-MI Metro Area</v>
          </cell>
          <cell r="B329">
            <v>3224.2374193806722</v>
          </cell>
          <cell r="C329">
            <v>4178.2830036898658</v>
          </cell>
          <cell r="D329">
            <v>3580.1325936807962</v>
          </cell>
          <cell r="E329">
            <v>3265.399745857424</v>
          </cell>
          <cell r="F329">
            <v>1908.5635169059753</v>
          </cell>
          <cell r="G329">
            <v>980.7469299896643</v>
          </cell>
          <cell r="H329">
            <v>1062.8515424533239</v>
          </cell>
          <cell r="I329">
            <v>1926.6318000000001</v>
          </cell>
          <cell r="J329">
            <v>811.1612728737208</v>
          </cell>
          <cell r="L329">
            <v>342.11019810559213</v>
          </cell>
          <cell r="M329">
            <v>255.95800409387687</v>
          </cell>
          <cell r="N329">
            <v>86.547399999999996</v>
          </cell>
          <cell r="O329">
            <v>90.351100000000002</v>
          </cell>
          <cell r="P329">
            <v>352.98669999999998</v>
          </cell>
          <cell r="S329">
            <v>115.30634820175928</v>
          </cell>
          <cell r="T329">
            <v>137.25290000000001</v>
          </cell>
          <cell r="U329">
            <v>98.307599999999979</v>
          </cell>
          <cell r="X329">
            <v>56.095500000000001</v>
          </cell>
          <cell r="Y329">
            <v>73.716399999999993</v>
          </cell>
          <cell r="Z329">
            <v>137.24384902964385</v>
          </cell>
          <cell r="AF329">
            <v>51.749599999999994</v>
          </cell>
          <cell r="DO329">
            <v>329</v>
          </cell>
        </row>
        <row r="330">
          <cell r="A330" t="str">
            <v>Spartanburg, SC Metro Area</v>
          </cell>
          <cell r="B330">
            <v>2899.6669255842558</v>
          </cell>
          <cell r="C330">
            <v>1920.219550852509</v>
          </cell>
          <cell r="D330">
            <v>1314.738446668289</v>
          </cell>
          <cell r="E330">
            <v>1141.7039243941656</v>
          </cell>
          <cell r="F330">
            <v>940.21162065470469</v>
          </cell>
          <cell r="G330">
            <v>735.7447899885218</v>
          </cell>
          <cell r="H330">
            <v>1000.0780343447742</v>
          </cell>
          <cell r="I330">
            <v>474.59598725391726</v>
          </cell>
          <cell r="J330">
            <v>322.11888401477353</v>
          </cell>
          <cell r="K330">
            <v>469.3268511940426</v>
          </cell>
          <cell r="L330">
            <v>347.61336715860597</v>
          </cell>
          <cell r="M330">
            <v>667.01990731395347</v>
          </cell>
          <cell r="N330">
            <v>80.680400000000006</v>
          </cell>
          <cell r="O330">
            <v>240.94169990386001</v>
          </cell>
          <cell r="P330">
            <v>255.69039874399701</v>
          </cell>
          <cell r="Q330">
            <v>661.5918870683098</v>
          </cell>
          <cell r="R330">
            <v>1431.9425000000001</v>
          </cell>
          <cell r="S330">
            <v>115.4586</v>
          </cell>
          <cell r="T330">
            <v>65.415700000000001</v>
          </cell>
          <cell r="W330">
            <v>384.50110000000001</v>
          </cell>
          <cell r="DO330">
            <v>330</v>
          </cell>
        </row>
        <row r="331">
          <cell r="A331" t="str">
            <v>Spokane, WA Metro Area</v>
          </cell>
          <cell r="B331">
            <v>4200.7254632087797</v>
          </cell>
          <cell r="C331">
            <v>5748.0565121054515</v>
          </cell>
          <cell r="D331">
            <v>4565.0526337898436</v>
          </cell>
          <cell r="E331">
            <v>5049.6080194940951</v>
          </cell>
          <cell r="F331">
            <v>3356.0794539979256</v>
          </cell>
          <cell r="G331">
            <v>1651.6131342005237</v>
          </cell>
          <cell r="H331">
            <v>1762.6043144682289</v>
          </cell>
          <cell r="I331">
            <v>1975.7046184436554</v>
          </cell>
          <cell r="J331">
            <v>3258.2447143243248</v>
          </cell>
          <cell r="K331">
            <v>2138.5706116090996</v>
          </cell>
          <cell r="L331">
            <v>1675.8435593867066</v>
          </cell>
          <cell r="M331">
            <v>545.56983074979564</v>
          </cell>
          <cell r="N331">
            <v>809.70002790088165</v>
          </cell>
          <cell r="O331">
            <v>1510.7914493604624</v>
          </cell>
          <cell r="Q331">
            <v>328.1255487060522</v>
          </cell>
          <cell r="V331">
            <v>295.67846513872132</v>
          </cell>
          <cell r="W331">
            <v>50.278399999999998</v>
          </cell>
          <cell r="X331">
            <v>80.856499999999997</v>
          </cell>
          <cell r="DO331">
            <v>331</v>
          </cell>
        </row>
        <row r="332">
          <cell r="A332" t="str">
            <v>Springfield, IL Metro Area</v>
          </cell>
          <cell r="B332">
            <v>4560.4886348033488</v>
          </cell>
          <cell r="C332">
            <v>3664.9258477968738</v>
          </cell>
          <cell r="D332">
            <v>2911.8014712816316</v>
          </cell>
          <cell r="E332">
            <v>1852.1527083188623</v>
          </cell>
          <cell r="F332">
            <v>1326.6222887848207</v>
          </cell>
          <cell r="G332">
            <v>640.493965051484</v>
          </cell>
          <cell r="H332">
            <v>153.81764080605811</v>
          </cell>
          <cell r="I332">
            <v>91.75906409608092</v>
          </cell>
          <cell r="J332">
            <v>998.45830000000012</v>
          </cell>
          <cell r="K332">
            <v>187.69229070837167</v>
          </cell>
          <cell r="O332">
            <v>24.026</v>
          </cell>
          <cell r="P332">
            <v>47.276654462729908</v>
          </cell>
          <cell r="R332">
            <v>167.1968</v>
          </cell>
          <cell r="S332">
            <v>187.06909999999999</v>
          </cell>
          <cell r="T332">
            <v>18.487100000000002</v>
          </cell>
          <cell r="DO332">
            <v>332</v>
          </cell>
        </row>
        <row r="333">
          <cell r="A333" t="str">
            <v>Springfield, MA Metro Area</v>
          </cell>
          <cell r="B333">
            <v>8292.1326216131092</v>
          </cell>
          <cell r="C333">
            <v>8612.2990740856749</v>
          </cell>
          <cell r="D333">
            <v>4690.3504482295448</v>
          </cell>
          <cell r="E333">
            <v>3372.9543391142515</v>
          </cell>
          <cell r="F333">
            <v>2279.3106448468379</v>
          </cell>
          <cell r="G333">
            <v>2539.9384456040029</v>
          </cell>
          <cell r="H333">
            <v>3402.9642548978504</v>
          </cell>
          <cell r="I333">
            <v>3779.9710164857765</v>
          </cell>
          <cell r="J333">
            <v>3019.6923149511413</v>
          </cell>
          <cell r="K333">
            <v>740.01902034817658</v>
          </cell>
          <cell r="L333">
            <v>2283.4445921275178</v>
          </cell>
          <cell r="M333">
            <v>714.99861180937921</v>
          </cell>
          <cell r="N333">
            <v>844.76303201804694</v>
          </cell>
          <cell r="P333">
            <v>724.26570388210212</v>
          </cell>
          <cell r="Q333">
            <v>3092.4301599038777</v>
          </cell>
          <cell r="R333">
            <v>729.69277589946284</v>
          </cell>
          <cell r="S333">
            <v>205.20968745494437</v>
          </cell>
          <cell r="T333">
            <v>920.37459999999999</v>
          </cell>
          <cell r="U333">
            <v>1066.9194109431278</v>
          </cell>
          <cell r="V333">
            <v>9552.1765378633118</v>
          </cell>
          <cell r="W333">
            <v>1095.0693526616515</v>
          </cell>
          <cell r="X333">
            <v>82.484699999999989</v>
          </cell>
          <cell r="Y333">
            <v>39.6036</v>
          </cell>
          <cell r="Z333">
            <v>150.74090000000001</v>
          </cell>
          <cell r="AB333">
            <v>49.014800000000001</v>
          </cell>
          <cell r="AC333">
            <v>158.21469999999999</v>
          </cell>
          <cell r="AD333">
            <v>31.949000000000002</v>
          </cell>
          <cell r="AE333">
            <v>46.7746</v>
          </cell>
          <cell r="AH333">
            <v>149.6806</v>
          </cell>
          <cell r="AI333">
            <v>3791.2307695125232</v>
          </cell>
          <cell r="AJ333">
            <v>2077.2378582756105</v>
          </cell>
          <cell r="AK333">
            <v>138.53134504478751</v>
          </cell>
          <cell r="AL333">
            <v>377.30959999999999</v>
          </cell>
          <cell r="AM333">
            <v>150.25479999999999</v>
          </cell>
          <cell r="AO333">
            <v>78.838300000000004</v>
          </cell>
          <cell r="AP333">
            <v>52.51176797767738</v>
          </cell>
          <cell r="DO333">
            <v>333</v>
          </cell>
        </row>
        <row r="334">
          <cell r="A334" t="str">
            <v>Springfield, MO Metro Area</v>
          </cell>
          <cell r="B334">
            <v>3229.9966725250415</v>
          </cell>
          <cell r="C334">
            <v>5013.4992029757123</v>
          </cell>
          <cell r="D334">
            <v>2361.1383139004729</v>
          </cell>
          <cell r="E334">
            <v>2234.6457397603604</v>
          </cell>
          <cell r="F334">
            <v>2076.137608787818</v>
          </cell>
          <cell r="G334">
            <v>1910.0519012331961</v>
          </cell>
          <cell r="H334">
            <v>1248.7456876214492</v>
          </cell>
          <cell r="I334">
            <v>1323.895096764548</v>
          </cell>
          <cell r="J334">
            <v>116.92225527036068</v>
          </cell>
          <cell r="L334">
            <v>318.32563175613046</v>
          </cell>
          <cell r="M334">
            <v>924.39750755793034</v>
          </cell>
          <cell r="N334">
            <v>653.91069526627223</v>
          </cell>
          <cell r="O334">
            <v>694.8184</v>
          </cell>
          <cell r="P334">
            <v>590.23103870601597</v>
          </cell>
          <cell r="Q334">
            <v>122.7696801765496</v>
          </cell>
          <cell r="R334">
            <v>227.33730000000003</v>
          </cell>
          <cell r="S334">
            <v>64.096200272355887</v>
          </cell>
          <cell r="T334">
            <v>58.4161</v>
          </cell>
          <cell r="U334">
            <v>45.449199999999998</v>
          </cell>
          <cell r="W334">
            <v>76.938234779525828</v>
          </cell>
          <cell r="Y334">
            <v>119.12392799548627</v>
          </cell>
          <cell r="Z334">
            <v>52.6648</v>
          </cell>
          <cell r="AA334">
            <v>31.729299999999999</v>
          </cell>
          <cell r="AD334">
            <v>29.688200000000002</v>
          </cell>
          <cell r="AE334">
            <v>61.441299999999998</v>
          </cell>
          <cell r="AG334">
            <v>58.456651716228386</v>
          </cell>
          <cell r="AK334">
            <v>47.156300000000009</v>
          </cell>
          <cell r="AQ334">
            <v>17.890599999999999</v>
          </cell>
          <cell r="DO334">
            <v>334</v>
          </cell>
        </row>
        <row r="335">
          <cell r="A335" t="str">
            <v>Springfield, OH Metro Area</v>
          </cell>
          <cell r="B335">
            <v>5080.5909428615614</v>
          </cell>
          <cell r="C335">
            <v>2771.6764795253221</v>
          </cell>
          <cell r="D335">
            <v>1902.8754170881821</v>
          </cell>
          <cell r="E335">
            <v>1489.7706561676123</v>
          </cell>
          <cell r="G335">
            <v>1386.1238304321496</v>
          </cell>
          <cell r="H335">
            <v>155.31060000000002</v>
          </cell>
          <cell r="I335">
            <v>361.11581993258773</v>
          </cell>
          <cell r="J335">
            <v>949.74480000000005</v>
          </cell>
          <cell r="K335">
            <v>151.56717585388992</v>
          </cell>
          <cell r="M335">
            <v>548.13877336733913</v>
          </cell>
          <cell r="N335">
            <v>1242.4270063186812</v>
          </cell>
          <cell r="DO335">
            <v>335</v>
          </cell>
        </row>
        <row r="336">
          <cell r="A336" t="str">
            <v>State College, PA Metro Area</v>
          </cell>
          <cell r="B336">
            <v>14919.281819274252</v>
          </cell>
          <cell r="C336">
            <v>3103.6265578836128</v>
          </cell>
          <cell r="D336">
            <v>564.42506810448117</v>
          </cell>
          <cell r="E336">
            <v>718.3845</v>
          </cell>
          <cell r="F336">
            <v>155.54786327006039</v>
          </cell>
          <cell r="G336">
            <v>1719.6858999999999</v>
          </cell>
          <cell r="H336">
            <v>152.1712</v>
          </cell>
          <cell r="J336">
            <v>167.15384101203574</v>
          </cell>
          <cell r="K336">
            <v>3344.4937999999997</v>
          </cell>
          <cell r="M336">
            <v>67.654399999999995</v>
          </cell>
          <cell r="N336">
            <v>79.134699999999995</v>
          </cell>
          <cell r="Q336">
            <v>93.649699999999996</v>
          </cell>
          <cell r="T336">
            <v>16.932700000000001</v>
          </cell>
          <cell r="U336">
            <v>24.341799999999999</v>
          </cell>
          <cell r="V336">
            <v>1209.2227544736843</v>
          </cell>
          <cell r="X336">
            <v>37.642000000000003</v>
          </cell>
          <cell r="DO336">
            <v>336</v>
          </cell>
        </row>
        <row r="337">
          <cell r="A337" t="str">
            <v>Steubenville-Weirton, OH-WV Metro Area</v>
          </cell>
          <cell r="B337">
            <v>4008.1652552780188</v>
          </cell>
          <cell r="C337">
            <v>606.60509999999999</v>
          </cell>
          <cell r="D337">
            <v>1066.6691914162523</v>
          </cell>
          <cell r="E337">
            <v>1540.3958751396647</v>
          </cell>
          <cell r="F337">
            <v>1298.25505</v>
          </cell>
          <cell r="G337">
            <v>616.51622336021501</v>
          </cell>
          <cell r="H337">
            <v>1804.8373406853284</v>
          </cell>
          <cell r="I337">
            <v>3483.8485999999998</v>
          </cell>
          <cell r="J337">
            <v>128.03238789029021</v>
          </cell>
          <cell r="K337">
            <v>142.42256389776358</v>
          </cell>
          <cell r="L337">
            <v>133.36851393851958</v>
          </cell>
          <cell r="N337">
            <v>99.770926528692385</v>
          </cell>
          <cell r="O337">
            <v>2449.5028000000002</v>
          </cell>
          <cell r="P337">
            <v>40.049199999999999</v>
          </cell>
          <cell r="R337">
            <v>103.39575838523383</v>
          </cell>
          <cell r="S337">
            <v>355.40879999999999</v>
          </cell>
          <cell r="DO337">
            <v>337</v>
          </cell>
        </row>
        <row r="338">
          <cell r="A338" t="str">
            <v>Stockton, CA Metro Area</v>
          </cell>
          <cell r="B338">
            <v>6740.1557035110927</v>
          </cell>
          <cell r="C338">
            <v>5496.6209210050747</v>
          </cell>
          <cell r="D338">
            <v>6686.4365374913214</v>
          </cell>
          <cell r="E338">
            <v>6099.9979747767757</v>
          </cell>
          <cell r="F338">
            <v>4916.5577131772143</v>
          </cell>
          <cell r="G338">
            <v>6782.7355053100737</v>
          </cell>
          <cell r="H338">
            <v>5550.5824157406723</v>
          </cell>
          <cell r="I338">
            <v>1985.6882076055138</v>
          </cell>
          <cell r="J338">
            <v>5423.10239300179</v>
          </cell>
          <cell r="K338">
            <v>2492.496561817441</v>
          </cell>
          <cell r="L338">
            <v>6740.2047833318447</v>
          </cell>
          <cell r="M338">
            <v>5602.4243591880568</v>
          </cell>
          <cell r="N338">
            <v>4164.5268767540874</v>
          </cell>
          <cell r="O338">
            <v>1135.8023282497174</v>
          </cell>
          <cell r="P338">
            <v>156.29150000000001</v>
          </cell>
          <cell r="Q338">
            <v>7871.1637240193822</v>
          </cell>
          <cell r="R338">
            <v>2538.1950612620217</v>
          </cell>
          <cell r="S338">
            <v>3641.2451097755247</v>
          </cell>
          <cell r="T338">
            <v>1942.7924751628434</v>
          </cell>
          <cell r="U338">
            <v>4024.8260429370193</v>
          </cell>
          <cell r="V338">
            <v>11.945300000000001</v>
          </cell>
          <cell r="DO338">
            <v>338</v>
          </cell>
        </row>
        <row r="339">
          <cell r="A339" t="str">
            <v>Sumter, SC Metro Area</v>
          </cell>
          <cell r="B339">
            <v>2230.5227141669384</v>
          </cell>
          <cell r="C339">
            <v>959.42503814775728</v>
          </cell>
          <cell r="D339">
            <v>1529.2552061405408</v>
          </cell>
          <cell r="E339">
            <v>949.92420000000004</v>
          </cell>
          <cell r="F339">
            <v>955.27269999999987</v>
          </cell>
          <cell r="G339">
            <v>63.43419999999999</v>
          </cell>
          <cell r="H339">
            <v>146.81286233677912</v>
          </cell>
          <cell r="I339">
            <v>149.84209999999999</v>
          </cell>
          <cell r="J339">
            <v>360.78691207053822</v>
          </cell>
          <cell r="K339">
            <v>35.100999999999999</v>
          </cell>
          <cell r="M339">
            <v>107.67700000000001</v>
          </cell>
          <cell r="Q339">
            <v>73.449200000000005</v>
          </cell>
          <cell r="T339">
            <v>25.3169</v>
          </cell>
          <cell r="DO339">
            <v>339</v>
          </cell>
        </row>
        <row r="340">
          <cell r="A340" t="str">
            <v>Syracuse, NY Metro Area</v>
          </cell>
          <cell r="B340">
            <v>10596.363474770807</v>
          </cell>
          <cell r="C340">
            <v>8858.8443570343243</v>
          </cell>
          <cell r="D340">
            <v>5578.3122140628939</v>
          </cell>
          <cell r="E340">
            <v>2087.4183192661362</v>
          </cell>
          <cell r="F340">
            <v>2089.7599105819945</v>
          </cell>
          <cell r="G340">
            <v>2804.9305111932199</v>
          </cell>
          <cell r="H340">
            <v>1664.5919282608695</v>
          </cell>
          <cell r="I340">
            <v>2013.1988709519349</v>
          </cell>
          <cell r="J340">
            <v>1972.9302454562689</v>
          </cell>
          <cell r="K340">
            <v>1302.7687797065328</v>
          </cell>
          <cell r="L340">
            <v>838.75883545601107</v>
          </cell>
          <cell r="M340">
            <v>409.05506622497563</v>
          </cell>
          <cell r="N340">
            <v>860.9647428360413</v>
          </cell>
          <cell r="O340">
            <v>589.41791110210136</v>
          </cell>
          <cell r="P340">
            <v>535.50298882740447</v>
          </cell>
          <cell r="Q340">
            <v>199.46247067618253</v>
          </cell>
          <cell r="R340">
            <v>78.816276211106725</v>
          </cell>
          <cell r="S340">
            <v>303.92292821275191</v>
          </cell>
          <cell r="U340">
            <v>157.22219999999999</v>
          </cell>
          <cell r="V340">
            <v>658.07022853540889</v>
          </cell>
          <cell r="X340">
            <v>1102.1790804999684</v>
          </cell>
          <cell r="Y340">
            <v>1664.4548379983905</v>
          </cell>
          <cell r="Z340">
            <v>151.71403937122633</v>
          </cell>
          <cell r="AA340">
            <v>2238.3185409568264</v>
          </cell>
          <cell r="AB340">
            <v>82.514499999999998</v>
          </cell>
          <cell r="AC340">
            <v>63.95174028546063</v>
          </cell>
          <cell r="AD340">
            <v>112.31520000000002</v>
          </cell>
          <cell r="AE340">
            <v>287.9239</v>
          </cell>
          <cell r="AF340">
            <v>91.83720000000001</v>
          </cell>
          <cell r="AG340">
            <v>168.59450000000001</v>
          </cell>
          <cell r="AH340">
            <v>2389.329406795292</v>
          </cell>
          <cell r="AI340">
            <v>1946.968952949399</v>
          </cell>
          <cell r="AJ340">
            <v>633.61851936109667</v>
          </cell>
          <cell r="AK340">
            <v>180.68395543778391</v>
          </cell>
          <cell r="AP340">
            <v>93.155699999999996</v>
          </cell>
          <cell r="AT340">
            <v>32.703000000000003</v>
          </cell>
          <cell r="DO340">
            <v>340</v>
          </cell>
        </row>
        <row r="341">
          <cell r="A341" t="str">
            <v>Tallahassee, FL Metro Area</v>
          </cell>
          <cell r="B341">
            <v>7065.8880872661148</v>
          </cell>
          <cell r="C341">
            <v>5034.9987310084207</v>
          </cell>
          <cell r="D341">
            <v>3975.6723349285467</v>
          </cell>
          <cell r="E341">
            <v>2494.5883454081045</v>
          </cell>
          <cell r="F341">
            <v>1318.8014221139942</v>
          </cell>
          <cell r="G341">
            <v>1287.944053621904</v>
          </cell>
          <cell r="H341">
            <v>1196.1808936697341</v>
          </cell>
          <cell r="I341">
            <v>921.13213591898432</v>
          </cell>
          <cell r="J341">
            <v>1155.7558220906901</v>
          </cell>
          <cell r="K341">
            <v>101.745</v>
          </cell>
          <cell r="L341">
            <v>1319.9357977907734</v>
          </cell>
          <cell r="M341">
            <v>102.64184357888368</v>
          </cell>
          <cell r="N341">
            <v>82.937347633587777</v>
          </cell>
          <cell r="O341">
            <v>87.163799999999995</v>
          </cell>
          <cell r="P341">
            <v>96.494566887357166</v>
          </cell>
          <cell r="Q341">
            <v>101.4328</v>
          </cell>
          <cell r="R341">
            <v>53.820700000000002</v>
          </cell>
          <cell r="U341">
            <v>180.85838112783162</v>
          </cell>
          <cell r="V341">
            <v>169.13570000000001</v>
          </cell>
          <cell r="W341">
            <v>106.6621</v>
          </cell>
          <cell r="Z341">
            <v>85.5274</v>
          </cell>
          <cell r="AA341">
            <v>58.511799747793184</v>
          </cell>
          <cell r="AB341">
            <v>16.999600000000001</v>
          </cell>
          <cell r="AD341">
            <v>23.395700000000001</v>
          </cell>
          <cell r="AL341">
            <v>75.367999999999995</v>
          </cell>
          <cell r="DO341">
            <v>341</v>
          </cell>
        </row>
        <row r="342">
          <cell r="A342" t="str">
            <v>Tampa-St. Petersburg-Clearwater, FL Metro Area</v>
          </cell>
          <cell r="B342">
            <v>7868.8958330674541</v>
          </cell>
          <cell r="C342">
            <v>5486.1089560218743</v>
          </cell>
          <cell r="D342">
            <v>5010.2872812605565</v>
          </cell>
          <cell r="E342">
            <v>4185.6258499049691</v>
          </cell>
          <cell r="F342">
            <v>4760.10240034663</v>
          </cell>
          <cell r="G342">
            <v>4524.1658179761316</v>
          </cell>
          <cell r="H342">
            <v>4514.6429400657516</v>
          </cell>
          <cell r="I342">
            <v>3950.6787721302317</v>
          </cell>
          <cell r="J342">
            <v>4328.6415567869435</v>
          </cell>
          <cell r="K342">
            <v>4740.5459232056746</v>
          </cell>
          <cell r="L342">
            <v>2673.6254525947616</v>
          </cell>
          <cell r="M342">
            <v>3007.2832096711923</v>
          </cell>
          <cell r="N342">
            <v>2083.577245533259</v>
          </cell>
          <cell r="O342">
            <v>3088.7347440268522</v>
          </cell>
          <cell r="P342">
            <v>2405.4485856773026</v>
          </cell>
          <cell r="Q342">
            <v>3002.9253297009905</v>
          </cell>
          <cell r="R342">
            <v>3389.2588275900948</v>
          </cell>
          <cell r="S342">
            <v>3501.7023801046735</v>
          </cell>
          <cell r="T342">
            <v>3537.7563300552174</v>
          </cell>
          <cell r="U342">
            <v>3741.2158032403659</v>
          </cell>
          <cell r="V342">
            <v>3516.3663055967522</v>
          </cell>
          <cell r="W342">
            <v>3391.5658063104956</v>
          </cell>
          <cell r="X342">
            <v>3273.8431949053725</v>
          </cell>
          <cell r="Y342">
            <v>2369.009137368113</v>
          </cell>
          <cell r="Z342">
            <v>2807.3807809423365</v>
          </cell>
          <cell r="AA342">
            <v>2602.3737925757878</v>
          </cell>
          <cell r="AB342">
            <v>2358.9455682576504</v>
          </cell>
          <cell r="AC342">
            <v>3243.0078502065981</v>
          </cell>
          <cell r="AD342">
            <v>3154.6905286014048</v>
          </cell>
          <cell r="AE342">
            <v>1959.7499421005753</v>
          </cell>
          <cell r="AF342">
            <v>1690.2463538509139</v>
          </cell>
          <cell r="AG342">
            <v>1919.650657896367</v>
          </cell>
          <cell r="AH342">
            <v>643.72582305896356</v>
          </cell>
          <cell r="AI342">
            <v>1432.5058977973113</v>
          </cell>
          <cell r="AJ342">
            <v>1047.2025344765059</v>
          </cell>
          <cell r="AK342">
            <v>1754.2324393800868</v>
          </cell>
          <cell r="AL342">
            <v>2019.781750594495</v>
          </cell>
          <cell r="AM342">
            <v>1769.7694384115157</v>
          </cell>
          <cell r="AN342">
            <v>1878.3500070095147</v>
          </cell>
          <cell r="AO342">
            <v>808.99816959414909</v>
          </cell>
          <cell r="AQ342">
            <v>1022.6785850214592</v>
          </cell>
          <cell r="AR342">
            <v>441.73626551604957</v>
          </cell>
          <cell r="AS342">
            <v>97.583631206496506</v>
          </cell>
          <cell r="AV342">
            <v>160.41727832549867</v>
          </cell>
          <cell r="AW342">
            <v>83.343599999999995</v>
          </cell>
          <cell r="DO342">
            <v>342</v>
          </cell>
        </row>
        <row r="343">
          <cell r="A343" t="str">
            <v>Terre Haute, IN Metro Area</v>
          </cell>
          <cell r="B343">
            <v>5344.6378000000004</v>
          </cell>
          <cell r="C343">
            <v>3293.1703562061975</v>
          </cell>
          <cell r="D343">
            <v>2807.5469829749627</v>
          </cell>
          <cell r="E343">
            <v>1257.8986411196565</v>
          </cell>
          <cell r="F343">
            <v>317.94693487635402</v>
          </cell>
          <cell r="G343">
            <v>282.6635</v>
          </cell>
          <cell r="H343">
            <v>173.13112746677828</v>
          </cell>
          <cell r="I343">
            <v>195.74401825718326</v>
          </cell>
          <cell r="J343">
            <v>88.453900000000004</v>
          </cell>
          <cell r="L343">
            <v>41.715800000000002</v>
          </cell>
          <cell r="N343">
            <v>73.113200000000006</v>
          </cell>
          <cell r="O343">
            <v>948.65394866828092</v>
          </cell>
          <cell r="Q343">
            <v>567.77763697674425</v>
          </cell>
          <cell r="R343">
            <v>805.59799999999996</v>
          </cell>
          <cell r="T343">
            <v>58.214047408829174</v>
          </cell>
          <cell r="V343">
            <v>34.176000000000002</v>
          </cell>
          <cell r="Z343">
            <v>16.264199999999999</v>
          </cell>
          <cell r="AA343">
            <v>293.44108224769036</v>
          </cell>
          <cell r="AC343">
            <v>35.887799999999999</v>
          </cell>
          <cell r="AI343">
            <v>43.737299999999998</v>
          </cell>
          <cell r="AM343">
            <v>44.802500000000002</v>
          </cell>
          <cell r="DO343">
            <v>343</v>
          </cell>
        </row>
        <row r="344">
          <cell r="A344" t="str">
            <v>Texarkana, TX-Texarkana, AR Metro Area</v>
          </cell>
          <cell r="B344">
            <v>1690.9913463952919</v>
          </cell>
          <cell r="C344">
            <v>2489.717048457801</v>
          </cell>
          <cell r="D344">
            <v>1584.8037646053292</v>
          </cell>
          <cell r="E344">
            <v>1556.8630711149444</v>
          </cell>
          <cell r="F344">
            <v>861.03252947160979</v>
          </cell>
          <cell r="G344">
            <v>642.74969999999996</v>
          </cell>
          <cell r="H344">
            <v>31.6479</v>
          </cell>
          <cell r="I344">
            <v>94.697400000000016</v>
          </cell>
          <cell r="L344">
            <v>91.279300000000006</v>
          </cell>
          <cell r="O344">
            <v>23.854700000000001</v>
          </cell>
          <cell r="P344">
            <v>47.034799999999997</v>
          </cell>
          <cell r="R344">
            <v>38.603700000000003</v>
          </cell>
          <cell r="X344">
            <v>81.869</v>
          </cell>
          <cell r="Z344">
            <v>124.935</v>
          </cell>
          <cell r="AF344">
            <v>14.8398</v>
          </cell>
          <cell r="AI344">
            <v>22.618200000000002</v>
          </cell>
          <cell r="DO344">
            <v>344</v>
          </cell>
        </row>
        <row r="345">
          <cell r="A345" t="str">
            <v>Toledo, OH Metro Area</v>
          </cell>
          <cell r="B345">
            <v>4615.9064703395952</v>
          </cell>
          <cell r="C345">
            <v>5788.265259399177</v>
          </cell>
          <cell r="D345">
            <v>3697.0616025366007</v>
          </cell>
          <cell r="E345">
            <v>4886.7479700652329</v>
          </cell>
          <cell r="F345">
            <v>3886.1514732879041</v>
          </cell>
          <cell r="G345">
            <v>3188.6804365101107</v>
          </cell>
          <cell r="H345">
            <v>3065.8298095732016</v>
          </cell>
          <cell r="I345">
            <v>2081.3371857509364</v>
          </cell>
          <cell r="J345">
            <v>2352.4122575234433</v>
          </cell>
          <cell r="K345">
            <v>2273.9352572970602</v>
          </cell>
          <cell r="L345">
            <v>1529.4750388731568</v>
          </cell>
          <cell r="M345">
            <v>533.8822090644652</v>
          </cell>
          <cell r="N345">
            <v>166.44537701612904</v>
          </cell>
          <cell r="O345">
            <v>166.09399999999999</v>
          </cell>
          <cell r="P345">
            <v>416.13392131335081</v>
          </cell>
          <cell r="Q345">
            <v>70.993499999999997</v>
          </cell>
          <cell r="R345">
            <v>436.63060000000007</v>
          </cell>
          <cell r="S345">
            <v>88.789070191625271</v>
          </cell>
          <cell r="U345">
            <v>2895.516022767943</v>
          </cell>
          <cell r="V345">
            <v>2968.5310535950493</v>
          </cell>
          <cell r="W345">
            <v>355.68716165186504</v>
          </cell>
          <cell r="X345">
            <v>346.77982895150564</v>
          </cell>
          <cell r="Y345">
            <v>70.839600000000004</v>
          </cell>
          <cell r="Z345">
            <v>224.14784995578262</v>
          </cell>
          <cell r="AB345">
            <v>64.937399999999997</v>
          </cell>
          <cell r="AC345">
            <v>53.981300000000005</v>
          </cell>
          <cell r="AF345">
            <v>98.280399999999986</v>
          </cell>
          <cell r="AG345">
            <v>777.38319991732124</v>
          </cell>
          <cell r="AH345">
            <v>956.9433115401622</v>
          </cell>
          <cell r="AI345">
            <v>296.73698082566528</v>
          </cell>
          <cell r="AL345">
            <v>565.25422108248642</v>
          </cell>
          <cell r="AN345">
            <v>251.45760000000001</v>
          </cell>
          <cell r="AP345">
            <v>281.6565235020114</v>
          </cell>
          <cell r="AQ345">
            <v>339.77949999999998</v>
          </cell>
          <cell r="DO345">
            <v>345</v>
          </cell>
        </row>
        <row r="346">
          <cell r="A346" t="str">
            <v>Topeka, KS Metro Area</v>
          </cell>
          <cell r="B346">
            <v>3678.8058838909224</v>
          </cell>
          <cell r="C346">
            <v>3872.980956242448</v>
          </cell>
          <cell r="D346">
            <v>1735.6194909531002</v>
          </cell>
          <cell r="E346">
            <v>2946.1667830539809</v>
          </cell>
          <cell r="F346">
            <v>1948.2592126663519</v>
          </cell>
          <cell r="G346">
            <v>1825.6261911363988</v>
          </cell>
          <cell r="H346">
            <v>454.45595764742006</v>
          </cell>
          <cell r="I346">
            <v>237.01471743438671</v>
          </cell>
          <cell r="J346">
            <v>48.892000000000003</v>
          </cell>
          <cell r="M346">
            <v>45.821933159100247</v>
          </cell>
          <cell r="R346">
            <v>47.144328210829194</v>
          </cell>
          <cell r="U346">
            <v>26.864799999999999</v>
          </cell>
          <cell r="X346">
            <v>20.2027</v>
          </cell>
          <cell r="Y346">
            <v>26.098798586572435</v>
          </cell>
          <cell r="Z346">
            <v>11.112399999999999</v>
          </cell>
          <cell r="AB346">
            <v>21.898399999999999</v>
          </cell>
          <cell r="AD346">
            <v>98.484335343404851</v>
          </cell>
          <cell r="AE346">
            <v>393.24639999999999</v>
          </cell>
          <cell r="AF346">
            <v>11.969099999999999</v>
          </cell>
          <cell r="AI346">
            <v>6.3273000000000001</v>
          </cell>
          <cell r="DO346">
            <v>346</v>
          </cell>
        </row>
        <row r="347">
          <cell r="A347" t="str">
            <v>Trenton-Ewing, NJ Metro Area</v>
          </cell>
          <cell r="B347">
            <v>19241.277228964169</v>
          </cell>
          <cell r="C347">
            <v>13584.61906983808</v>
          </cell>
          <cell r="D347">
            <v>3890.3625063352924</v>
          </cell>
          <cell r="E347">
            <v>2957.2617300092147</v>
          </cell>
          <cell r="F347">
            <v>2290.113131857574</v>
          </cell>
          <cell r="G347">
            <v>2029.9882322017645</v>
          </cell>
          <cell r="H347">
            <v>746.96048030009683</v>
          </cell>
          <cell r="I347">
            <v>1352.0165386187002</v>
          </cell>
          <cell r="J347">
            <v>611.04426363250138</v>
          </cell>
          <cell r="K347">
            <v>1275.0716287616115</v>
          </cell>
          <cell r="L347">
            <v>5242.8493482946096</v>
          </cell>
          <cell r="M347">
            <v>1419.3060288806332</v>
          </cell>
          <cell r="N347">
            <v>2134.1805496167658</v>
          </cell>
          <cell r="P347">
            <v>5814.5450000000001</v>
          </cell>
          <cell r="DO347">
            <v>347</v>
          </cell>
        </row>
        <row r="348">
          <cell r="A348" t="str">
            <v>Tucson, AZ Metro Area</v>
          </cell>
          <cell r="B348">
            <v>4839.8946972525109</v>
          </cell>
          <cell r="C348">
            <v>6085.6720994001962</v>
          </cell>
          <cell r="D348">
            <v>4764.4572792511126</v>
          </cell>
          <cell r="E348">
            <v>4486.6150838129888</v>
          </cell>
          <cell r="F348">
            <v>5306.4083250992435</v>
          </cell>
          <cell r="G348">
            <v>4554.682417620058</v>
          </cell>
          <cell r="H348">
            <v>3612.5597347483285</v>
          </cell>
          <cell r="I348">
            <v>3180.8750395912384</v>
          </cell>
          <cell r="J348">
            <v>2868.8339639088526</v>
          </cell>
          <cell r="K348">
            <v>3640.88317101146</v>
          </cell>
          <cell r="L348">
            <v>2319.0766249375547</v>
          </cell>
          <cell r="M348">
            <v>2306.9768338028175</v>
          </cell>
          <cell r="N348">
            <v>1389.8985562759221</v>
          </cell>
          <cell r="O348">
            <v>1826.7479234260934</v>
          </cell>
          <cell r="P348">
            <v>1575.1801589430477</v>
          </cell>
          <cell r="Q348">
            <v>241.96872029185019</v>
          </cell>
          <cell r="R348">
            <v>1242.6741682967074</v>
          </cell>
          <cell r="S348">
            <v>476.28278353795605</v>
          </cell>
          <cell r="U348">
            <v>673.07653648679945</v>
          </cell>
          <cell r="V348">
            <v>97.213895175121394</v>
          </cell>
          <cell r="W348">
            <v>134.24256095962247</v>
          </cell>
          <cell r="Y348">
            <v>989.7378482327307</v>
          </cell>
          <cell r="Z348">
            <v>411.41740354428805</v>
          </cell>
          <cell r="AA348">
            <v>1673.8678</v>
          </cell>
          <cell r="AC348">
            <v>286.87595324165028</v>
          </cell>
          <cell r="AE348">
            <v>48.478899999999996</v>
          </cell>
          <cell r="AG348">
            <v>16.317599999999999</v>
          </cell>
          <cell r="AH348">
            <v>3.6063000000000001</v>
          </cell>
          <cell r="BF348">
            <v>2.4426000000000001</v>
          </cell>
          <cell r="BM348">
            <v>1.9429000000000001</v>
          </cell>
          <cell r="CJ348">
            <v>1.1040000000000001</v>
          </cell>
          <cell r="CW348">
            <v>2.2949000000000002</v>
          </cell>
          <cell r="DO348">
            <v>348</v>
          </cell>
        </row>
        <row r="349">
          <cell r="A349" t="str">
            <v>Tulsa, OK Metro Area</v>
          </cell>
          <cell r="B349">
            <v>2865.4475000000002</v>
          </cell>
          <cell r="C349">
            <v>3297.8489263193442</v>
          </cell>
          <cell r="D349">
            <v>4133.8135569395126</v>
          </cell>
          <cell r="E349">
            <v>3115.6408315157169</v>
          </cell>
          <cell r="F349">
            <v>2890.7648155412603</v>
          </cell>
          <cell r="G349">
            <v>4075.0820877356014</v>
          </cell>
          <cell r="H349">
            <v>2092.7498357233499</v>
          </cell>
          <cell r="I349">
            <v>4185.1220103213182</v>
          </cell>
          <cell r="J349">
            <v>3489.1112162133345</v>
          </cell>
          <cell r="K349">
            <v>2950.681815653551</v>
          </cell>
          <cell r="L349">
            <v>2152.7552330952817</v>
          </cell>
          <cell r="M349">
            <v>1505.2773777554983</v>
          </cell>
          <cell r="N349">
            <v>2411.8981950157927</v>
          </cell>
          <cell r="O349">
            <v>1483.6506820564869</v>
          </cell>
          <cell r="P349">
            <v>1125.0076523240341</v>
          </cell>
          <cell r="Q349">
            <v>625.40848054241428</v>
          </cell>
          <cell r="R349">
            <v>383.20653480012191</v>
          </cell>
          <cell r="S349">
            <v>330.80621341638715</v>
          </cell>
          <cell r="T349">
            <v>509.64752513507904</v>
          </cell>
          <cell r="U349">
            <v>267.52969999999999</v>
          </cell>
          <cell r="V349">
            <v>144.40031208991496</v>
          </cell>
          <cell r="W349">
            <v>81.075572083394945</v>
          </cell>
          <cell r="X349">
            <v>913.62368168560022</v>
          </cell>
          <cell r="Y349">
            <v>881.41261607039655</v>
          </cell>
          <cell r="Z349">
            <v>997.23593381515184</v>
          </cell>
          <cell r="AA349">
            <v>38.049833898305081</v>
          </cell>
          <cell r="AB349">
            <v>144.29828808933004</v>
          </cell>
          <cell r="AC349">
            <v>18.966739715803072</v>
          </cell>
          <cell r="AD349">
            <v>79.466092558972818</v>
          </cell>
          <cell r="AE349">
            <v>101.25884196647203</v>
          </cell>
          <cell r="AF349">
            <v>34.507800000000003</v>
          </cell>
          <cell r="AG349">
            <v>81.919381566539926</v>
          </cell>
          <cell r="AI349">
            <v>51.790182647527914</v>
          </cell>
          <cell r="AJ349">
            <v>22.597535779816514</v>
          </cell>
          <cell r="AK349">
            <v>81.471900000000005</v>
          </cell>
          <cell r="AL349">
            <v>603.03354130330615</v>
          </cell>
          <cell r="AM349">
            <v>487.75940306245479</v>
          </cell>
          <cell r="AN349">
            <v>14.148899999999999</v>
          </cell>
          <cell r="AO349">
            <v>39.239334295761623</v>
          </cell>
          <cell r="AP349">
            <v>428.40649999999999</v>
          </cell>
          <cell r="AR349">
            <v>42.268897034321895</v>
          </cell>
          <cell r="AU349">
            <v>6.926800000000001</v>
          </cell>
          <cell r="AV349">
            <v>99.749239474136445</v>
          </cell>
          <cell r="AX349">
            <v>79.379199999999997</v>
          </cell>
          <cell r="AY349">
            <v>158.81399999999999</v>
          </cell>
          <cell r="BI349">
            <v>9.6241583733589486</v>
          </cell>
          <cell r="DO349">
            <v>349</v>
          </cell>
        </row>
        <row r="350">
          <cell r="A350" t="str">
            <v>Tuscaloosa, AL Metro Area</v>
          </cell>
          <cell r="B350">
            <v>6185.8686300355103</v>
          </cell>
          <cell r="C350">
            <v>3073.9378403789774</v>
          </cell>
          <cell r="D350">
            <v>2095.6117068767912</v>
          </cell>
          <cell r="E350">
            <v>2318.2365684659926</v>
          </cell>
          <cell r="F350">
            <v>1156.6137020772007</v>
          </cell>
          <cell r="G350">
            <v>681.37533501158725</v>
          </cell>
          <cell r="H350">
            <v>547.72050389872152</v>
          </cell>
          <cell r="I350">
            <v>314.96660349415947</v>
          </cell>
          <cell r="J350">
            <v>56.6999</v>
          </cell>
          <cell r="L350">
            <v>75.071590064552339</v>
          </cell>
          <cell r="N350">
            <v>21.839256582927788</v>
          </cell>
          <cell r="O350">
            <v>29.096600000000002</v>
          </cell>
          <cell r="Q350">
            <v>28.212000000000003</v>
          </cell>
          <cell r="R350">
            <v>26.436499999999999</v>
          </cell>
          <cell r="T350">
            <v>60.526600000000002</v>
          </cell>
          <cell r="Z350">
            <v>170.31144234202998</v>
          </cell>
          <cell r="AF350">
            <v>17.553167801382134</v>
          </cell>
          <cell r="AH350">
            <v>20.378299999999999</v>
          </cell>
          <cell r="AL350">
            <v>61.299799999999998</v>
          </cell>
          <cell r="AR350">
            <v>12.797700000000003</v>
          </cell>
          <cell r="AV350">
            <v>13.805199999999999</v>
          </cell>
          <cell r="DO350">
            <v>350</v>
          </cell>
        </row>
        <row r="351">
          <cell r="A351" t="str">
            <v>Tyler, TX Metro Area</v>
          </cell>
          <cell r="B351">
            <v>2872.110314427176</v>
          </cell>
          <cell r="C351">
            <v>2593.4014549805679</v>
          </cell>
          <cell r="D351">
            <v>2265.2190839341074</v>
          </cell>
          <cell r="E351">
            <v>2339.1176729049071</v>
          </cell>
          <cell r="F351">
            <v>1921.0957598891464</v>
          </cell>
          <cell r="G351">
            <v>565.6177024853489</v>
          </cell>
          <cell r="H351">
            <v>476.15269999999992</v>
          </cell>
          <cell r="K351">
            <v>283.92309999999998</v>
          </cell>
          <cell r="L351">
            <v>759.45240000000001</v>
          </cell>
          <cell r="M351">
            <v>191.96245148739686</v>
          </cell>
          <cell r="N351">
            <v>147.76650480954569</v>
          </cell>
          <cell r="O351">
            <v>43.464599999999997</v>
          </cell>
          <cell r="P351">
            <v>194.6890093472187</v>
          </cell>
          <cell r="Q351">
            <v>77.638300000000001</v>
          </cell>
          <cell r="S351">
            <v>64.434299999999993</v>
          </cell>
          <cell r="DO351">
            <v>351</v>
          </cell>
        </row>
        <row r="352">
          <cell r="A352" t="str">
            <v>Utica-Rome, NY Metro Area</v>
          </cell>
          <cell r="B352">
            <v>9264.7477611202557</v>
          </cell>
          <cell r="C352">
            <v>6834.1571508851584</v>
          </cell>
          <cell r="D352">
            <v>2572.4191309098464</v>
          </cell>
          <cell r="E352">
            <v>1339.8510249087781</v>
          </cell>
          <cell r="F352">
            <v>542.98918932237029</v>
          </cell>
          <cell r="G352">
            <v>1700.3179225824174</v>
          </cell>
          <cell r="H352">
            <v>158.8919533994426</v>
          </cell>
          <cell r="I352">
            <v>140.137</v>
          </cell>
          <cell r="J352">
            <v>461.64249999999998</v>
          </cell>
          <cell r="K352">
            <v>1144.1372624592109</v>
          </cell>
          <cell r="L352">
            <v>120.79198319536425</v>
          </cell>
          <cell r="M352">
            <v>2228.2949187678591</v>
          </cell>
          <cell r="N352">
            <v>1949.7463999999998</v>
          </cell>
          <cell r="O352">
            <v>2180.6427429934424</v>
          </cell>
          <cell r="P352">
            <v>1086.901433441692</v>
          </cell>
          <cell r="Q352">
            <v>91.937065024630542</v>
          </cell>
          <cell r="R352">
            <v>107.38338269414005</v>
          </cell>
          <cell r="S352">
            <v>823.34950000000003</v>
          </cell>
          <cell r="T352">
            <v>1328.5918999999999</v>
          </cell>
          <cell r="U352">
            <v>517.92037852300598</v>
          </cell>
          <cell r="V352">
            <v>84.724999999999994</v>
          </cell>
          <cell r="W352">
            <v>40.501899999999999</v>
          </cell>
          <cell r="X352">
            <v>23.8324</v>
          </cell>
          <cell r="Y352">
            <v>1366.6259</v>
          </cell>
          <cell r="AA352">
            <v>19.957000000000001</v>
          </cell>
          <cell r="AB352">
            <v>50.07705641294227</v>
          </cell>
          <cell r="AC352">
            <v>88.530500000000004</v>
          </cell>
          <cell r="AG352">
            <v>91.347899999999996</v>
          </cell>
          <cell r="AP352">
            <v>3.1989000000000001</v>
          </cell>
          <cell r="DO352">
            <v>352</v>
          </cell>
        </row>
        <row r="353">
          <cell r="A353" t="str">
            <v>Valdosta, GA Metro Area</v>
          </cell>
          <cell r="B353">
            <v>2859.1749993771627</v>
          </cell>
          <cell r="C353">
            <v>3082.2571135706226</v>
          </cell>
          <cell r="D353">
            <v>2889.1778860365339</v>
          </cell>
          <cell r="E353">
            <v>2463.4461979109465</v>
          </cell>
          <cell r="F353">
            <v>620.0946041262946</v>
          </cell>
          <cell r="G353">
            <v>128.21629999999999</v>
          </cell>
          <cell r="H353">
            <v>480.41030000000001</v>
          </cell>
          <cell r="I353">
            <v>148.8944034296029</v>
          </cell>
          <cell r="J353">
            <v>141.76528765207604</v>
          </cell>
          <cell r="L353">
            <v>159.58303261648746</v>
          </cell>
          <cell r="M353">
            <v>42.868499999999997</v>
          </cell>
          <cell r="O353">
            <v>28.246600000000004</v>
          </cell>
          <cell r="R353">
            <v>66.488662166100056</v>
          </cell>
          <cell r="S353">
            <v>85.524500000000003</v>
          </cell>
          <cell r="T353">
            <v>5.1016000000000012</v>
          </cell>
          <cell r="V353">
            <v>18.225047170226819</v>
          </cell>
          <cell r="AB353">
            <v>16.661899999999999</v>
          </cell>
          <cell r="DO353">
            <v>353</v>
          </cell>
        </row>
        <row r="354">
          <cell r="A354" t="str">
            <v>Vallejo-Fairfield, CA Metro Area</v>
          </cell>
          <cell r="B354">
            <v>7268.531018764601</v>
          </cell>
          <cell r="C354">
            <v>5475.7516808053497</v>
          </cell>
          <cell r="D354">
            <v>5734.5529483329274</v>
          </cell>
          <cell r="E354">
            <v>5199.6825112548149</v>
          </cell>
          <cell r="F354">
            <v>1695.4086065727699</v>
          </cell>
          <cell r="G354">
            <v>2418.6854062887878</v>
          </cell>
          <cell r="H354">
            <v>3923.8799157504122</v>
          </cell>
          <cell r="I354">
            <v>216.82409999999999</v>
          </cell>
          <cell r="J354">
            <v>473.6866</v>
          </cell>
          <cell r="L354">
            <v>244.92830000000001</v>
          </cell>
          <cell r="O354">
            <v>266.16820000000001</v>
          </cell>
          <cell r="P354">
            <v>899.68970000000002</v>
          </cell>
          <cell r="Q354">
            <v>6626.010867962832</v>
          </cell>
          <cell r="R354">
            <v>6754.5364438040206</v>
          </cell>
          <cell r="S354">
            <v>6501.6780839167395</v>
          </cell>
          <cell r="T354">
            <v>4471.7823087752377</v>
          </cell>
          <cell r="U354">
            <v>564.66456765609007</v>
          </cell>
          <cell r="W354">
            <v>3661.1558177253055</v>
          </cell>
          <cell r="X354">
            <v>4283.3496984292087</v>
          </cell>
          <cell r="Y354">
            <v>7157.8864551150946</v>
          </cell>
          <cell r="Z354">
            <v>3668.583902413066</v>
          </cell>
          <cell r="AA354">
            <v>2721.51434789119</v>
          </cell>
          <cell r="AB354">
            <v>49.790500000000002</v>
          </cell>
          <cell r="AC354">
            <v>219.97739999999999</v>
          </cell>
          <cell r="AF354">
            <v>37.808700000000002</v>
          </cell>
          <cell r="AH354">
            <v>1121.8834526616463</v>
          </cell>
          <cell r="AI354">
            <v>3600.5798863404912</v>
          </cell>
          <cell r="DO354">
            <v>354</v>
          </cell>
        </row>
        <row r="355">
          <cell r="A355" t="str">
            <v>Victoria, TX Metro Area</v>
          </cell>
          <cell r="B355">
            <v>3415.8087</v>
          </cell>
          <cell r="C355">
            <v>2752.6891266480852</v>
          </cell>
          <cell r="D355">
            <v>3733.9982763423709</v>
          </cell>
          <cell r="E355">
            <v>3991.4970201032565</v>
          </cell>
          <cell r="F355">
            <v>1231.1528000000001</v>
          </cell>
          <cell r="G355">
            <v>628.46815014005608</v>
          </cell>
          <cell r="H355">
            <v>61.383681704728211</v>
          </cell>
          <cell r="I355">
            <v>10.713900000000001</v>
          </cell>
          <cell r="J355">
            <v>28.8903</v>
          </cell>
          <cell r="L355">
            <v>48.711599999999997</v>
          </cell>
          <cell r="N355">
            <v>14.862</v>
          </cell>
          <cell r="T355">
            <v>16.320799999999998</v>
          </cell>
          <cell r="AA355">
            <v>668.16463572530859</v>
          </cell>
          <cell r="AB355">
            <v>3785.29</v>
          </cell>
          <cell r="AD355">
            <v>5.2285000000000004</v>
          </cell>
          <cell r="AH355">
            <v>26.417300000000001</v>
          </cell>
          <cell r="AJ355">
            <v>13.743499999999999</v>
          </cell>
          <cell r="DO355">
            <v>355</v>
          </cell>
        </row>
        <row r="356">
          <cell r="A356" t="str">
            <v>Vineland-Millville-Bridgeton, NJ Metro Area</v>
          </cell>
          <cell r="B356">
            <v>4676.6135650751703</v>
          </cell>
          <cell r="C356">
            <v>2330.3438272824224</v>
          </cell>
          <cell r="D356">
            <v>719.86482627683199</v>
          </cell>
          <cell r="E356">
            <v>473.97883756313132</v>
          </cell>
          <cell r="G356">
            <v>527.84789999999998</v>
          </cell>
          <cell r="H356">
            <v>3865.3049943349033</v>
          </cell>
          <cell r="I356">
            <v>408.02582652173913</v>
          </cell>
          <cell r="L356">
            <v>980.07943538225777</v>
          </cell>
          <cell r="M356">
            <v>5691.6558387294881</v>
          </cell>
          <cell r="N356">
            <v>3334.4934004721799</v>
          </cell>
          <cell r="O356">
            <v>112.2593275929776</v>
          </cell>
          <cell r="R356">
            <v>32.590000000000003</v>
          </cell>
          <cell r="S356">
            <v>1780.1379417168675</v>
          </cell>
          <cell r="DO356">
            <v>356</v>
          </cell>
        </row>
        <row r="357">
          <cell r="A357" t="str">
            <v>Virginia Beach-Norfolk-Newport News, VA-NC Metro Area</v>
          </cell>
          <cell r="C357">
            <v>1833.0981254896276</v>
          </cell>
          <cell r="E357">
            <v>3931.053686771409</v>
          </cell>
          <cell r="F357">
            <v>5361.9013790538156</v>
          </cell>
          <cell r="G357">
            <v>6250.9378149106642</v>
          </cell>
          <cell r="H357">
            <v>4919.8718646879024</v>
          </cell>
          <cell r="I357">
            <v>5061.623259722176</v>
          </cell>
          <cell r="J357">
            <v>2762.808471593286</v>
          </cell>
          <cell r="K357">
            <v>3888.4868150370794</v>
          </cell>
          <cell r="L357">
            <v>3552.8047389854632</v>
          </cell>
          <cell r="M357">
            <v>3864.4287031696567</v>
          </cell>
          <cell r="N357">
            <v>2975.0310924215974</v>
          </cell>
          <cell r="O357">
            <v>5229.7889765046448</v>
          </cell>
          <cell r="P357">
            <v>6135.8029056099285</v>
          </cell>
          <cell r="Q357">
            <v>4225.3561193626538</v>
          </cell>
          <cell r="R357">
            <v>16799.167429943755</v>
          </cell>
          <cell r="S357">
            <v>3397.5514016189259</v>
          </cell>
          <cell r="T357">
            <v>3720.4780934714095</v>
          </cell>
          <cell r="U357">
            <v>2474.3936595961586</v>
          </cell>
          <cell r="V357">
            <v>2681.5295700964894</v>
          </cell>
          <cell r="W357">
            <v>3475.0978975486423</v>
          </cell>
          <cell r="X357">
            <v>1150.7827311418682</v>
          </cell>
          <cell r="Y357">
            <v>2330.5869304458324</v>
          </cell>
          <cell r="Z357">
            <v>4334.9446020449141</v>
          </cell>
          <cell r="AA357">
            <v>4077.907878924083</v>
          </cell>
          <cell r="AB357">
            <v>2745.6332470270854</v>
          </cell>
          <cell r="AC357">
            <v>3107.4243026021204</v>
          </cell>
          <cell r="AD357">
            <v>3641.840687243247</v>
          </cell>
          <cell r="AE357">
            <v>2159.2261834566893</v>
          </cell>
          <cell r="AF357">
            <v>2003.5480587723271</v>
          </cell>
          <cell r="AG357">
            <v>3341.0422053767484</v>
          </cell>
          <cell r="AH357">
            <v>3648.2691738664921</v>
          </cell>
          <cell r="AI357">
            <v>1655.0705811420837</v>
          </cell>
          <cell r="AJ357">
            <v>2207.684709313759</v>
          </cell>
          <cell r="AK357">
            <v>4297.6794796913891</v>
          </cell>
          <cell r="AL357">
            <v>2383.0680624411389</v>
          </cell>
          <cell r="AM357">
            <v>3703.4409378612108</v>
          </cell>
          <cell r="AN357">
            <v>2300.8816197950218</v>
          </cell>
          <cell r="AO357">
            <v>3823.5400999999997</v>
          </cell>
          <cell r="AP357">
            <v>2681.7384823104694</v>
          </cell>
          <cell r="AQ357">
            <v>71.366299999999995</v>
          </cell>
          <cell r="AR357">
            <v>250.87644609370074</v>
          </cell>
          <cell r="AS357">
            <v>828.28064270213883</v>
          </cell>
          <cell r="AT357">
            <v>474.70209999999997</v>
          </cell>
          <cell r="AU357">
            <v>58.085099999999997</v>
          </cell>
          <cell r="AV357">
            <v>100.7051</v>
          </cell>
          <cell r="AW357">
            <v>541.45761262327414</v>
          </cell>
          <cell r="AX357">
            <v>329.74400000000003</v>
          </cell>
          <cell r="AY357">
            <v>1282.4557</v>
          </cell>
          <cell r="AZ357">
            <v>778.05734969846685</v>
          </cell>
          <cell r="BA357">
            <v>1747.7901912381292</v>
          </cell>
          <cell r="BB357">
            <v>403.509522903571</v>
          </cell>
          <cell r="BC357">
            <v>424.65916461858654</v>
          </cell>
          <cell r="BD357">
            <v>799.58221017133144</v>
          </cell>
          <cell r="BF357">
            <v>287.5976</v>
          </cell>
          <cell r="BH357">
            <v>275.18582180293504</v>
          </cell>
          <cell r="BK357">
            <v>162.86619999999999</v>
          </cell>
          <cell r="DO357">
            <v>357</v>
          </cell>
        </row>
        <row r="358">
          <cell r="A358" t="str">
            <v>Visalia-Porterville, CA Metro Area</v>
          </cell>
          <cell r="B358">
            <v>7300.0909397728065</v>
          </cell>
          <cell r="C358">
            <v>3353.1024275149953</v>
          </cell>
          <cell r="D358">
            <v>3003.5265706098426</v>
          </cell>
          <cell r="E358">
            <v>3180.794329157593</v>
          </cell>
          <cell r="F358">
            <v>413.33642655339327</v>
          </cell>
          <cell r="G358">
            <v>1691.8852454566925</v>
          </cell>
          <cell r="I358">
            <v>2235.717616170602</v>
          </cell>
          <cell r="J358">
            <v>2540.9008398951032</v>
          </cell>
          <cell r="K358">
            <v>5001.0184873882918</v>
          </cell>
          <cell r="L358">
            <v>1306.7755999999999</v>
          </cell>
          <cell r="M358">
            <v>169.8501</v>
          </cell>
          <cell r="N358">
            <v>2769.4235752480372</v>
          </cell>
          <cell r="O358">
            <v>583.6730988544025</v>
          </cell>
          <cell r="P358">
            <v>2653.0786466577852</v>
          </cell>
          <cell r="Q358">
            <v>3374.4855752550452</v>
          </cell>
          <cell r="R358">
            <v>3644.0811595907926</v>
          </cell>
          <cell r="S358">
            <v>136.50120000000001</v>
          </cell>
          <cell r="T358">
            <v>32.346996185709351</v>
          </cell>
          <cell r="W358">
            <v>4305.2826763821276</v>
          </cell>
          <cell r="X358">
            <v>3287.8365551858951</v>
          </cell>
          <cell r="Y358">
            <v>2803.3532367824987</v>
          </cell>
          <cell r="Z358">
            <v>4557.035395922042</v>
          </cell>
          <cell r="AA358">
            <v>120.80690863768584</v>
          </cell>
          <cell r="AB358">
            <v>1139.4947</v>
          </cell>
          <cell r="AF358">
            <v>49.957000000000001</v>
          </cell>
          <cell r="AG358">
            <v>1855.375</v>
          </cell>
          <cell r="AH358">
            <v>2.5535000000000001</v>
          </cell>
          <cell r="AI358">
            <v>32.565399999999997</v>
          </cell>
          <cell r="DO358">
            <v>358</v>
          </cell>
        </row>
        <row r="359">
          <cell r="A359" t="str">
            <v>Waco, TX Metro Area</v>
          </cell>
          <cell r="B359">
            <v>5190.8794796124157</v>
          </cell>
          <cell r="C359">
            <v>3216.3689156777168</v>
          </cell>
          <cell r="D359">
            <v>4290.8880563393213</v>
          </cell>
          <cell r="E359">
            <v>1875.9468686257251</v>
          </cell>
          <cell r="F359">
            <v>1930.4565240830209</v>
          </cell>
          <cell r="G359">
            <v>1125.8467101674021</v>
          </cell>
          <cell r="H359">
            <v>214.24069999999998</v>
          </cell>
          <cell r="I359">
            <v>550.39112263396839</v>
          </cell>
          <cell r="J359">
            <v>771.33682253240272</v>
          </cell>
          <cell r="K359">
            <v>149.07570000000001</v>
          </cell>
          <cell r="L359">
            <v>38.326900000000002</v>
          </cell>
          <cell r="M359">
            <v>48.288800000000002</v>
          </cell>
          <cell r="N359">
            <v>113.38918711498972</v>
          </cell>
          <cell r="O359">
            <v>55.647799999999997</v>
          </cell>
          <cell r="Q359">
            <v>77.58602516726711</v>
          </cell>
          <cell r="R359">
            <v>90.057452463267069</v>
          </cell>
          <cell r="U359">
            <v>73.124200000000002</v>
          </cell>
          <cell r="DO359">
            <v>359</v>
          </cell>
        </row>
        <row r="360">
          <cell r="A360" t="str">
            <v>Warner Robins, GA Metro Area</v>
          </cell>
          <cell r="B360">
            <v>2312.5437556190818</v>
          </cell>
          <cell r="C360">
            <v>2304.7899882437468</v>
          </cell>
          <cell r="D360">
            <v>2394.1491631617773</v>
          </cell>
          <cell r="E360">
            <v>1580.0543</v>
          </cell>
          <cell r="F360">
            <v>1326.5186380481236</v>
          </cell>
          <cell r="G360">
            <v>384.89499999999998</v>
          </cell>
          <cell r="H360">
            <v>1670.4256619717016</v>
          </cell>
          <cell r="I360">
            <v>551.4289</v>
          </cell>
          <cell r="M360">
            <v>437.37371065127422</v>
          </cell>
          <cell r="P360">
            <v>136.95339999999999</v>
          </cell>
          <cell r="S360">
            <v>20.7089</v>
          </cell>
          <cell r="DO360">
            <v>360</v>
          </cell>
        </row>
        <row r="361">
          <cell r="A361" t="str">
            <v>Washington-Arlington-Alexandria, DC-VA-MD-WV Metro Area</v>
          </cell>
          <cell r="B361">
            <v>32199.030861118536</v>
          </cell>
          <cell r="C361">
            <v>24857.981117850592</v>
          </cell>
          <cell r="D361">
            <v>23910.779057047195</v>
          </cell>
          <cell r="E361">
            <v>12696.112380156677</v>
          </cell>
          <cell r="F361">
            <v>13071.246081303321</v>
          </cell>
          <cell r="G361">
            <v>10488.262820623206</v>
          </cell>
          <cell r="H361">
            <v>9159.3052667350639</v>
          </cell>
          <cell r="I361">
            <v>8931.6436022546077</v>
          </cell>
          <cell r="J361">
            <v>6935.4243150539369</v>
          </cell>
          <cell r="K361">
            <v>5447.9437429729824</v>
          </cell>
          <cell r="L361">
            <v>5305.8509065627168</v>
          </cell>
          <cell r="M361">
            <v>5230.606406568264</v>
          </cell>
          <cell r="N361">
            <v>4326.0235999020579</v>
          </cell>
          <cell r="O361">
            <v>4842.5669083805524</v>
          </cell>
          <cell r="P361">
            <v>3912.9996652536347</v>
          </cell>
          <cell r="Q361">
            <v>3424.0293049062693</v>
          </cell>
          <cell r="R361">
            <v>3697.5730261644608</v>
          </cell>
          <cell r="S361">
            <v>3403.0010869048856</v>
          </cell>
          <cell r="T361">
            <v>4040.8996326935167</v>
          </cell>
          <cell r="U361">
            <v>4500.9714151403796</v>
          </cell>
          <cell r="V361">
            <v>5751.4384634916951</v>
          </cell>
          <cell r="W361">
            <v>4705.3369929729333</v>
          </cell>
          <cell r="X361">
            <v>4911.2635897602604</v>
          </cell>
          <cell r="Y361">
            <v>3481.3440068752766</v>
          </cell>
          <cell r="Z361">
            <v>4675.4459812156911</v>
          </cell>
          <cell r="AA361">
            <v>3389.6741191201318</v>
          </cell>
          <cell r="AB361">
            <v>2826.90049877503</v>
          </cell>
          <cell r="AC361">
            <v>2304.3387871940781</v>
          </cell>
          <cell r="AD361">
            <v>1219.4395611797497</v>
          </cell>
          <cell r="AE361">
            <v>1481.7705376495057</v>
          </cell>
          <cell r="AF361">
            <v>1186.2593212715367</v>
          </cell>
          <cell r="AG361">
            <v>3226.0439440282007</v>
          </cell>
          <cell r="AH361">
            <v>2386.0179531870722</v>
          </cell>
          <cell r="AI361">
            <v>1203.9613638090534</v>
          </cell>
          <cell r="AJ361">
            <v>1718.1308544645747</v>
          </cell>
          <cell r="AK361">
            <v>300.40983807074957</v>
          </cell>
          <cell r="AL361">
            <v>1613.3074507592842</v>
          </cell>
          <cell r="AM361">
            <v>1443.1395945546801</v>
          </cell>
          <cell r="AN361">
            <v>1092.5467693164699</v>
          </cell>
          <cell r="AO361">
            <v>1553.858504461959</v>
          </cell>
          <cell r="AP361">
            <v>305.44329619632481</v>
          </cell>
          <cell r="AQ361">
            <v>2270.7001237596942</v>
          </cell>
          <cell r="AR361">
            <v>3934.2832457487189</v>
          </cell>
          <cell r="AS361">
            <v>1835.2606277513407</v>
          </cell>
          <cell r="AT361">
            <v>1258.6955898511064</v>
          </cell>
          <cell r="AU361">
            <v>1405.468171210365</v>
          </cell>
          <cell r="AV361">
            <v>561.36366220197181</v>
          </cell>
          <cell r="AW361">
            <v>1916.7200176903095</v>
          </cell>
          <cell r="AX361">
            <v>845.66697868550943</v>
          </cell>
          <cell r="AY361">
            <v>1105.2841440651976</v>
          </cell>
          <cell r="AZ361">
            <v>1405.7045820757039</v>
          </cell>
          <cell r="BA361">
            <v>1724.306473754958</v>
          </cell>
          <cell r="BB361">
            <v>1979.4872515472521</v>
          </cell>
          <cell r="BC361">
            <v>893.58099114332617</v>
          </cell>
          <cell r="BD361">
            <v>194.47165549464756</v>
          </cell>
          <cell r="BE361">
            <v>420.46856049170384</v>
          </cell>
          <cell r="BF361">
            <v>224.04457319758191</v>
          </cell>
          <cell r="BG361">
            <v>114.22742665770961</v>
          </cell>
          <cell r="BH361">
            <v>234.63761689600943</v>
          </cell>
          <cell r="BJ361">
            <v>395.89566960227273</v>
          </cell>
          <cell r="BL361">
            <v>1589.5130245487364</v>
          </cell>
          <cell r="BM361">
            <v>1244.4789356175297</v>
          </cell>
          <cell r="BN361">
            <v>87.482200000000006</v>
          </cell>
          <cell r="BO361">
            <v>54.511300000000006</v>
          </cell>
          <cell r="BP361">
            <v>146.12180000000001</v>
          </cell>
          <cell r="BQ361">
            <v>68.691999999999993</v>
          </cell>
          <cell r="BR361">
            <v>83.917300000000012</v>
          </cell>
          <cell r="DO361">
            <v>361</v>
          </cell>
        </row>
        <row r="362">
          <cell r="A362" t="str">
            <v>Waterloo-Cedar Falls, IA Metro Area</v>
          </cell>
          <cell r="B362">
            <v>4645.3657281883343</v>
          </cell>
          <cell r="C362">
            <v>3293.224261222877</v>
          </cell>
          <cell r="D362">
            <v>2837.3489285306573</v>
          </cell>
          <cell r="E362">
            <v>1317.3038392394824</v>
          </cell>
          <cell r="F362">
            <v>2025.1887650293479</v>
          </cell>
          <cell r="G362">
            <v>883.7670787211639</v>
          </cell>
          <cell r="H362">
            <v>6288.1822331266012</v>
          </cell>
          <cell r="I362">
            <v>179.6411291828245</v>
          </cell>
          <cell r="J362">
            <v>31.997599999999998</v>
          </cell>
          <cell r="K362">
            <v>22.575500000000002</v>
          </cell>
          <cell r="N362">
            <v>95.441592935278038</v>
          </cell>
          <cell r="P362">
            <v>22.604900000000001</v>
          </cell>
          <cell r="Q362">
            <v>33.364400000000003</v>
          </cell>
          <cell r="R362">
            <v>278.74619999999999</v>
          </cell>
          <cell r="S362">
            <v>646.90342731668011</v>
          </cell>
          <cell r="V362">
            <v>28.535900000000002</v>
          </cell>
          <cell r="Z362">
            <v>45.479434113345519</v>
          </cell>
          <cell r="AA362">
            <v>14.565300000000001</v>
          </cell>
          <cell r="AC362">
            <v>308.46940000000001</v>
          </cell>
          <cell r="AH362">
            <v>16.602799999999998</v>
          </cell>
          <cell r="DO362">
            <v>362</v>
          </cell>
        </row>
        <row r="363">
          <cell r="A363" t="str">
            <v>Wausau, WI Metro Area</v>
          </cell>
          <cell r="B363">
            <v>2956.1759778116766</v>
          </cell>
          <cell r="C363">
            <v>2314.994250949881</v>
          </cell>
          <cell r="E363">
            <v>575.13424315545251</v>
          </cell>
          <cell r="F363">
            <v>673.66302772620907</v>
          </cell>
          <cell r="G363">
            <v>650.80418422680418</v>
          </cell>
          <cell r="K363">
            <v>139.10990000000001</v>
          </cell>
          <cell r="M363">
            <v>137.88640000000001</v>
          </cell>
          <cell r="N363">
            <v>25.584800000000001</v>
          </cell>
          <cell r="O363">
            <v>57.963900000000002</v>
          </cell>
          <cell r="S363">
            <v>28.151699999999998</v>
          </cell>
          <cell r="T363">
            <v>27.423736254026689</v>
          </cell>
          <cell r="Y363">
            <v>56.313200000000002</v>
          </cell>
          <cell r="AF363">
            <v>33.374099999999999</v>
          </cell>
          <cell r="AI363">
            <v>68.9238</v>
          </cell>
          <cell r="DO363">
            <v>363</v>
          </cell>
        </row>
        <row r="364">
          <cell r="A364" t="str">
            <v>Wenatchee-East Wenatchee, WA Metro Area</v>
          </cell>
          <cell r="B364">
            <v>5851.3962000000001</v>
          </cell>
          <cell r="C364">
            <v>2455.2838720750474</v>
          </cell>
          <cell r="D364">
            <v>1675.4685077373379</v>
          </cell>
          <cell r="F364">
            <v>78.079190044154757</v>
          </cell>
          <cell r="G364">
            <v>30.869299999999999</v>
          </cell>
          <cell r="K364">
            <v>1162.8969999999999</v>
          </cell>
          <cell r="N364">
            <v>21.286300000000001</v>
          </cell>
          <cell r="U364">
            <v>2.456</v>
          </cell>
          <cell r="X364">
            <v>2.0123000000000002</v>
          </cell>
          <cell r="Y364">
            <v>6.361600000000001</v>
          </cell>
          <cell r="AH364">
            <v>36.459099999999999</v>
          </cell>
          <cell r="AI364">
            <v>72.110799999999998</v>
          </cell>
          <cell r="AQ364">
            <v>7.8087999999999997</v>
          </cell>
          <cell r="DO364">
            <v>364</v>
          </cell>
        </row>
        <row r="365">
          <cell r="A365" t="str">
            <v>Wheeling, WV-OH Metro Area</v>
          </cell>
          <cell r="B365">
            <v>2423.4659631103905</v>
          </cell>
          <cell r="C365">
            <v>2925.68337469988</v>
          </cell>
          <cell r="D365">
            <v>1095.6176734794906</v>
          </cell>
          <cell r="E365">
            <v>1457.2599701299487</v>
          </cell>
          <cell r="F365">
            <v>424.13737967525731</v>
          </cell>
          <cell r="G365">
            <v>375.5864199782697</v>
          </cell>
          <cell r="H365">
            <v>1529.6582000000001</v>
          </cell>
          <cell r="I365">
            <v>143.94891606914211</v>
          </cell>
          <cell r="J365">
            <v>412.66450000647291</v>
          </cell>
          <cell r="K365">
            <v>510.42950000000002</v>
          </cell>
          <cell r="L365">
            <v>479.10494839054911</v>
          </cell>
          <cell r="N365">
            <v>172.41040000000001</v>
          </cell>
          <cell r="P365">
            <v>66.784800000000004</v>
          </cell>
          <cell r="Q365">
            <v>29.8003</v>
          </cell>
          <cell r="S365">
            <v>50.80063137254902</v>
          </cell>
          <cell r="T365">
            <v>216.05113100836985</v>
          </cell>
          <cell r="Y365">
            <v>103.8464</v>
          </cell>
          <cell r="DO365">
            <v>365</v>
          </cell>
        </row>
        <row r="366">
          <cell r="A366" t="str">
            <v>Wichita, KS Metro Area</v>
          </cell>
          <cell r="B366">
            <v>3000.9119999999998</v>
          </cell>
          <cell r="C366">
            <v>4204.8516139682461</v>
          </cell>
          <cell r="D366">
            <v>4329.7897268825018</v>
          </cell>
          <cell r="E366">
            <v>3883.0453632192521</v>
          </cell>
          <cell r="F366">
            <v>3557.3070183539862</v>
          </cell>
          <cell r="G366">
            <v>2887.2883694863499</v>
          </cell>
          <cell r="H366">
            <v>2122.0220714463176</v>
          </cell>
          <cell r="I366">
            <v>2069.0316260929467</v>
          </cell>
          <cell r="J366">
            <v>1483.5258216188786</v>
          </cell>
          <cell r="K366">
            <v>1013.9716530938787</v>
          </cell>
          <cell r="L366">
            <v>719.75477268684267</v>
          </cell>
          <cell r="M366">
            <v>3364.3074000000001</v>
          </cell>
          <cell r="N366">
            <v>331.42528817497549</v>
          </cell>
          <cell r="O366">
            <v>299.863</v>
          </cell>
          <cell r="P366">
            <v>340.21624265997491</v>
          </cell>
          <cell r="Q366">
            <v>271.21809999999999</v>
          </cell>
          <cell r="R366">
            <v>29.257999999999999</v>
          </cell>
          <cell r="S366">
            <v>37.519300000000001</v>
          </cell>
          <cell r="T366">
            <v>43.429491446242935</v>
          </cell>
          <cell r="U366">
            <v>1739.4360999999999</v>
          </cell>
          <cell r="V366">
            <v>466.27518483126107</v>
          </cell>
          <cell r="W366">
            <v>25.935599999999997</v>
          </cell>
          <cell r="X366">
            <v>61.7637</v>
          </cell>
          <cell r="Y366">
            <v>609.64546398811626</v>
          </cell>
          <cell r="AA366">
            <v>349.56712154553099</v>
          </cell>
          <cell r="AB366">
            <v>2111.4094</v>
          </cell>
          <cell r="AC366">
            <v>2239.7934</v>
          </cell>
          <cell r="AD366">
            <v>662.82050000000004</v>
          </cell>
          <cell r="AE366">
            <v>154.55703641078838</v>
          </cell>
          <cell r="AF366">
            <v>24.473600000000001</v>
          </cell>
          <cell r="AG366">
            <v>8.2436000000000007</v>
          </cell>
          <cell r="AH366">
            <v>9.4570000000000007</v>
          </cell>
          <cell r="AT366">
            <v>6.1398999999999999</v>
          </cell>
          <cell r="DO366">
            <v>366</v>
          </cell>
        </row>
        <row r="367">
          <cell r="A367" t="str">
            <v>Wichita Falls, TX Metro Area</v>
          </cell>
          <cell r="B367">
            <v>1441.3040534413537</v>
          </cell>
          <cell r="C367">
            <v>3712.3204572117829</v>
          </cell>
          <cell r="D367">
            <v>2287.8762038724526</v>
          </cell>
          <cell r="E367">
            <v>1694.6777910873911</v>
          </cell>
          <cell r="F367">
            <v>2132.5520262690452</v>
          </cell>
          <cell r="G367">
            <v>491.71831554076317</v>
          </cell>
          <cell r="H367">
            <v>2148.3649999999998</v>
          </cell>
          <cell r="I367">
            <v>38.5931</v>
          </cell>
          <cell r="L367">
            <v>875.77560000000005</v>
          </cell>
          <cell r="M367">
            <v>218.6084862004565</v>
          </cell>
          <cell r="N367">
            <v>9.0564999999999998</v>
          </cell>
          <cell r="O367">
            <v>1590.0868</v>
          </cell>
          <cell r="S367">
            <v>5.4615</v>
          </cell>
          <cell r="T367">
            <v>213.922</v>
          </cell>
          <cell r="X367">
            <v>11.114100000000001</v>
          </cell>
          <cell r="AA367">
            <v>438.34356247323348</v>
          </cell>
          <cell r="DO367">
            <v>367</v>
          </cell>
        </row>
        <row r="368">
          <cell r="A368" t="str">
            <v>Williamsport, PA Metro Area</v>
          </cell>
          <cell r="B368">
            <v>5159.43393838475</v>
          </cell>
          <cell r="C368">
            <v>5450.5986994008508</v>
          </cell>
          <cell r="D368">
            <v>1200.4164013127786</v>
          </cell>
          <cell r="E368">
            <v>406.19018073727148</v>
          </cell>
          <cell r="F368">
            <v>1279.1719000000001</v>
          </cell>
          <cell r="H368">
            <v>75.826999999999998</v>
          </cell>
          <cell r="I368">
            <v>133.97834447217974</v>
          </cell>
          <cell r="J368">
            <v>34.123399999999997</v>
          </cell>
          <cell r="L368">
            <v>61.470526829636334</v>
          </cell>
          <cell r="N368">
            <v>194.215</v>
          </cell>
          <cell r="O368">
            <v>680.3</v>
          </cell>
          <cell r="P368">
            <v>190.32099999999997</v>
          </cell>
          <cell r="S368">
            <v>8.9324999999999992</v>
          </cell>
          <cell r="U368">
            <v>4.3353000000000002</v>
          </cell>
          <cell r="V368">
            <v>37.893000000000001</v>
          </cell>
          <cell r="DO368">
            <v>368</v>
          </cell>
        </row>
        <row r="369">
          <cell r="A369" t="str">
            <v>Wilmington, NC Metro Area</v>
          </cell>
          <cell r="B369">
            <v>3183.3643128876101</v>
          </cell>
          <cell r="C369">
            <v>4165.7559416746954</v>
          </cell>
          <cell r="D369">
            <v>2477.7223982582286</v>
          </cell>
          <cell r="E369">
            <v>2289.1762038276865</v>
          </cell>
          <cell r="F369">
            <v>2396.3699269110971</v>
          </cell>
          <cell r="G369">
            <v>1393.5779263321922</v>
          </cell>
          <cell r="H369">
            <v>1535.0794961031136</v>
          </cell>
          <cell r="I369">
            <v>1125.6925323888804</v>
          </cell>
          <cell r="J369">
            <v>1019.5888356555703</v>
          </cell>
          <cell r="K369">
            <v>710.5925368168015</v>
          </cell>
          <cell r="L369">
            <v>1082.8065178440238</v>
          </cell>
          <cell r="M369">
            <v>78.716585570408355</v>
          </cell>
          <cell r="O369">
            <v>1441.7805000000001</v>
          </cell>
          <cell r="P369">
            <v>1111.6859999999999</v>
          </cell>
          <cell r="Q369">
            <v>187.33735646558048</v>
          </cell>
          <cell r="R369">
            <v>443.00380000000001</v>
          </cell>
          <cell r="U369">
            <v>81.403099999999995</v>
          </cell>
          <cell r="V369">
            <v>486.99078954997077</v>
          </cell>
          <cell r="W369">
            <v>295.84410339888598</v>
          </cell>
          <cell r="X369">
            <v>181.37073630077103</v>
          </cell>
          <cell r="Y369">
            <v>353.14830000000001</v>
          </cell>
          <cell r="Z369">
            <v>504.7881052275132</v>
          </cell>
          <cell r="AA369">
            <v>585.93610459518595</v>
          </cell>
          <cell r="AB369">
            <v>243.55602291599612</v>
          </cell>
          <cell r="AC369">
            <v>9.5138999999999996</v>
          </cell>
          <cell r="AD369">
            <v>216.3348</v>
          </cell>
          <cell r="AE369">
            <v>154.67395757851617</v>
          </cell>
          <cell r="AF369">
            <v>204.16004122488243</v>
          </cell>
          <cell r="AH369">
            <v>288.77199999999999</v>
          </cell>
          <cell r="AJ369">
            <v>628.19579999999996</v>
          </cell>
          <cell r="AL369">
            <v>58.558700000000002</v>
          </cell>
          <cell r="AM369">
            <v>108.7131</v>
          </cell>
          <cell r="AN369">
            <v>581.01125031731635</v>
          </cell>
          <cell r="AP369">
            <v>364.23770000000002</v>
          </cell>
          <cell r="AQ369">
            <v>310.62580000000003</v>
          </cell>
          <cell r="AR369">
            <v>675.94290000000001</v>
          </cell>
          <cell r="DO369">
            <v>369</v>
          </cell>
        </row>
        <row r="370">
          <cell r="A370" t="str">
            <v>Winchester, VA-WV Metro Area</v>
          </cell>
          <cell r="B370">
            <v>4166.5745685006605</v>
          </cell>
          <cell r="C370">
            <v>1798.3635167877255</v>
          </cell>
          <cell r="D370">
            <v>1749.3049123250444</v>
          </cell>
          <cell r="E370">
            <v>927.51993431338326</v>
          </cell>
          <cell r="F370">
            <v>133.79259999999999</v>
          </cell>
          <cell r="G370">
            <v>1186.3905305977164</v>
          </cell>
          <cell r="H370">
            <v>834.08730000000003</v>
          </cell>
          <cell r="I370">
            <v>143.00659999999999</v>
          </cell>
          <cell r="J370">
            <v>272.80099999999999</v>
          </cell>
          <cell r="L370">
            <v>59.477300000000007</v>
          </cell>
          <cell r="M370">
            <v>87.014022863027805</v>
          </cell>
          <cell r="U370">
            <v>33.609299999999998</v>
          </cell>
          <cell r="W370">
            <v>32.538499999999999</v>
          </cell>
          <cell r="AE370">
            <v>50.05660000000001</v>
          </cell>
          <cell r="AF370">
            <v>34.994500000000002</v>
          </cell>
          <cell r="AJ370">
            <v>40.720700000000001</v>
          </cell>
          <cell r="DO370">
            <v>370</v>
          </cell>
        </row>
        <row r="371">
          <cell r="A371" t="str">
            <v>Winston-Salem, NC Metro Area</v>
          </cell>
          <cell r="B371">
            <v>2901.4110836359323</v>
          </cell>
          <cell r="C371">
            <v>3610.1609756446896</v>
          </cell>
          <cell r="D371">
            <v>2159.8757779568359</v>
          </cell>
          <cell r="E371">
            <v>1738.2425076804211</v>
          </cell>
          <cell r="F371">
            <v>1802.9891490297737</v>
          </cell>
          <cell r="G371">
            <v>1559.1246928819007</v>
          </cell>
          <cell r="H371">
            <v>1404.3776946154874</v>
          </cell>
          <cell r="I371">
            <v>745.66189319419243</v>
          </cell>
          <cell r="J371">
            <v>1121.1928631931651</v>
          </cell>
          <cell r="K371">
            <v>567.86094011969533</v>
          </cell>
          <cell r="L371">
            <v>591.29346257647182</v>
          </cell>
          <cell r="M371">
            <v>205.2313</v>
          </cell>
          <cell r="N371">
            <v>139.78149999999999</v>
          </cell>
          <cell r="P371">
            <v>400.32891741108352</v>
          </cell>
          <cell r="Q371">
            <v>141.0836181737649</v>
          </cell>
          <cell r="R371">
            <v>97.951700000000002</v>
          </cell>
          <cell r="S371">
            <v>114.9375</v>
          </cell>
          <cell r="U371">
            <v>115.90637288710673</v>
          </cell>
          <cell r="W371">
            <v>224.59938431834237</v>
          </cell>
          <cell r="X371">
            <v>180.38669999999999</v>
          </cell>
          <cell r="Y371">
            <v>192.60409999999999</v>
          </cell>
          <cell r="Z371">
            <v>101.27219960845093</v>
          </cell>
          <cell r="AB371">
            <v>51.711500000000001</v>
          </cell>
          <cell r="AC371">
            <v>103.20569999999999</v>
          </cell>
          <cell r="AF371">
            <v>96.338800000000006</v>
          </cell>
          <cell r="AI371">
            <v>159.5179</v>
          </cell>
          <cell r="DO371">
            <v>371</v>
          </cell>
        </row>
        <row r="372">
          <cell r="A372" t="str">
            <v>Worcester, MA Metro Area</v>
          </cell>
          <cell r="B372">
            <v>14577.189411826486</v>
          </cell>
          <cell r="C372">
            <v>10119.385837394531</v>
          </cell>
          <cell r="D372">
            <v>3840.3542315323675</v>
          </cell>
          <cell r="E372">
            <v>3635.8859346189861</v>
          </cell>
          <cell r="F372">
            <v>1743.0887674566538</v>
          </cell>
          <cell r="G372">
            <v>1275.3890238670954</v>
          </cell>
          <cell r="H372">
            <v>561.52709830895492</v>
          </cell>
          <cell r="I372">
            <v>756.80639637305705</v>
          </cell>
          <cell r="J372">
            <v>704.06717090923553</v>
          </cell>
          <cell r="K372">
            <v>1027.3640697796552</v>
          </cell>
          <cell r="L372">
            <v>1100.92939102319</v>
          </cell>
          <cell r="M372">
            <v>412.02823704565998</v>
          </cell>
          <cell r="N372">
            <v>1613.4556414790527</v>
          </cell>
          <cell r="O372">
            <v>448.68547602849918</v>
          </cell>
          <cell r="P372">
            <v>948.72458525050956</v>
          </cell>
          <cell r="Q372">
            <v>1751.860457063417</v>
          </cell>
          <cell r="R372">
            <v>1953.5466983620861</v>
          </cell>
          <cell r="S372">
            <v>1733.6082291064181</v>
          </cell>
          <cell r="T372">
            <v>1610.6741429143283</v>
          </cell>
          <cell r="U372">
            <v>2034.6162633983995</v>
          </cell>
          <cell r="V372">
            <v>762.42664197624401</v>
          </cell>
          <cell r="W372">
            <v>3566.4585854996208</v>
          </cell>
          <cell r="X372">
            <v>3638.3211898660015</v>
          </cell>
          <cell r="Y372">
            <v>1296.029266693738</v>
          </cell>
          <cell r="Z372">
            <v>803.68690000000004</v>
          </cell>
          <cell r="AA372">
            <v>251.32980000000001</v>
          </cell>
          <cell r="AB372">
            <v>37.152299999999997</v>
          </cell>
          <cell r="AC372">
            <v>158.47800000000001</v>
          </cell>
          <cell r="AF372">
            <v>206.69649999999999</v>
          </cell>
          <cell r="AG372">
            <v>537.64175901445162</v>
          </cell>
          <cell r="AH372">
            <v>348.60590000000002</v>
          </cell>
          <cell r="AI372">
            <v>58.554099999999998</v>
          </cell>
          <cell r="DO372">
            <v>372</v>
          </cell>
        </row>
        <row r="373">
          <cell r="A373" t="str">
            <v>Yakima, WA Metro Area</v>
          </cell>
          <cell r="B373">
            <v>6855.420041731586</v>
          </cell>
          <cell r="C373">
            <v>5680.8597546831188</v>
          </cell>
          <cell r="D373">
            <v>3256.3832871665022</v>
          </cell>
          <cell r="E373">
            <v>1688.2121643569433</v>
          </cell>
          <cell r="F373">
            <v>1879.2651451723943</v>
          </cell>
          <cell r="G373">
            <v>489.6738962635352</v>
          </cell>
          <cell r="H373">
            <v>127.46665349220292</v>
          </cell>
          <cell r="K373">
            <v>222.76879531405783</v>
          </cell>
          <cell r="M373">
            <v>763.81013660153872</v>
          </cell>
          <cell r="O373">
            <v>3.9329000000000001</v>
          </cell>
          <cell r="Q373">
            <v>2.0619000000000001</v>
          </cell>
          <cell r="R373">
            <v>49.311799999999998</v>
          </cell>
          <cell r="S373">
            <v>96.654300000000006</v>
          </cell>
          <cell r="T373">
            <v>2578.3863684078037</v>
          </cell>
          <cell r="AA373">
            <v>180.28039999999999</v>
          </cell>
          <cell r="AB373">
            <v>26.1889</v>
          </cell>
          <cell r="AF373">
            <v>2446.0345635315571</v>
          </cell>
          <cell r="AJ373">
            <v>75.342600000000004</v>
          </cell>
          <cell r="AM373">
            <v>2146.1253236943976</v>
          </cell>
          <cell r="DO373">
            <v>373</v>
          </cell>
        </row>
        <row r="374">
          <cell r="A374" t="str">
            <v>York-Hanover, PA Metro Area</v>
          </cell>
          <cell r="B374">
            <v>13158.065068387097</v>
          </cell>
          <cell r="C374">
            <v>5080.6881719301255</v>
          </cell>
          <cell r="D374">
            <v>1312.4696783966663</v>
          </cell>
          <cell r="E374">
            <v>1854.9159941661594</v>
          </cell>
          <cell r="F374">
            <v>1654.0053225871002</v>
          </cell>
          <cell r="G374">
            <v>1318.324969668841</v>
          </cell>
          <cell r="H374">
            <v>1499.9946348728229</v>
          </cell>
          <cell r="I374">
            <v>1406.3155918322716</v>
          </cell>
          <cell r="J374">
            <v>243.85414740259739</v>
          </cell>
          <cell r="K374">
            <v>386.83819641159056</v>
          </cell>
          <cell r="L374">
            <v>180.7054</v>
          </cell>
          <cell r="M374">
            <v>471.8392660543077</v>
          </cell>
          <cell r="N374">
            <v>215.76836445953592</v>
          </cell>
          <cell r="O374">
            <v>316.86549683696245</v>
          </cell>
          <cell r="P374">
            <v>585.54352460796144</v>
          </cell>
          <cell r="Q374">
            <v>512.20390767099673</v>
          </cell>
          <cell r="R374">
            <v>893.70420690716912</v>
          </cell>
          <cell r="S374">
            <v>4349.5396712723359</v>
          </cell>
          <cell r="T374">
            <v>738.97640647054027</v>
          </cell>
          <cell r="U374">
            <v>493.10305531317618</v>
          </cell>
          <cell r="V374">
            <v>123.5099</v>
          </cell>
          <cell r="W374">
            <v>72.953999999999994</v>
          </cell>
          <cell r="Z374">
            <v>187.9802</v>
          </cell>
          <cell r="DO374">
            <v>374</v>
          </cell>
        </row>
        <row r="375">
          <cell r="A375" t="str">
            <v>Youngstown-Warren-Boardman, OH-PA Metro Area</v>
          </cell>
          <cell r="B375">
            <v>1614.5172</v>
          </cell>
          <cell r="C375">
            <v>2071.4195198966263</v>
          </cell>
          <cell r="D375">
            <v>3195.4970605847357</v>
          </cell>
          <cell r="E375">
            <v>2364.0061386078746</v>
          </cell>
          <cell r="F375">
            <v>2772.9791215069422</v>
          </cell>
          <cell r="G375">
            <v>1693.3548181093579</v>
          </cell>
          <cell r="H375">
            <v>981.29075290617948</v>
          </cell>
          <cell r="I375">
            <v>1944.4193633608513</v>
          </cell>
          <cell r="J375">
            <v>1486.3479809425701</v>
          </cell>
          <cell r="K375">
            <v>170.6489</v>
          </cell>
          <cell r="L375">
            <v>926.60097335109765</v>
          </cell>
          <cell r="M375">
            <v>2043.4389445691272</v>
          </cell>
          <cell r="N375">
            <v>2605.4658365435725</v>
          </cell>
          <cell r="O375">
            <v>1859.2782293863684</v>
          </cell>
          <cell r="P375">
            <v>1438.9875974544173</v>
          </cell>
          <cell r="Q375">
            <v>303.32980289080001</v>
          </cell>
          <cell r="R375">
            <v>665.38608320198409</v>
          </cell>
          <cell r="S375">
            <v>630.88163009888137</v>
          </cell>
          <cell r="T375">
            <v>120.7684</v>
          </cell>
          <cell r="V375">
            <v>140.06649999999999</v>
          </cell>
          <cell r="W375">
            <v>96.628637054213982</v>
          </cell>
          <cell r="X375">
            <v>112.88246046668596</v>
          </cell>
          <cell r="Y375">
            <v>561.25380679102307</v>
          </cell>
          <cell r="Z375">
            <v>82.993600000000001</v>
          </cell>
          <cell r="AA375">
            <v>1716.1366430900134</v>
          </cell>
          <cell r="AB375">
            <v>177.5307</v>
          </cell>
          <cell r="AC375">
            <v>112.63030000000001</v>
          </cell>
          <cell r="AE375">
            <v>3138.5532995093345</v>
          </cell>
          <cell r="AF375">
            <v>116.13088288590603</v>
          </cell>
          <cell r="AH375">
            <v>58.710205080213896</v>
          </cell>
          <cell r="DO375">
            <v>375</v>
          </cell>
        </row>
        <row r="376">
          <cell r="A376" t="str">
            <v>Yuba City, CA Metro Area</v>
          </cell>
          <cell r="B376">
            <v>4549.1425642767708</v>
          </cell>
          <cell r="C376">
            <v>3326.9050256639553</v>
          </cell>
          <cell r="D376">
            <v>3005.0359691644521</v>
          </cell>
          <cell r="E376">
            <v>1999.2833743924632</v>
          </cell>
          <cell r="F376">
            <v>1954.6962000000001</v>
          </cell>
          <cell r="G376">
            <v>3573.6992416904213</v>
          </cell>
          <cell r="H376">
            <v>1977.0117766243466</v>
          </cell>
          <cell r="J376">
            <v>152.93440000000001</v>
          </cell>
          <cell r="K376">
            <v>351.19206042528054</v>
          </cell>
          <cell r="M376">
            <v>28.308699999999998</v>
          </cell>
          <cell r="P376">
            <v>56.142358276937117</v>
          </cell>
          <cell r="Q376">
            <v>43.975799999999992</v>
          </cell>
          <cell r="U376">
            <v>19.331499999999998</v>
          </cell>
          <cell r="AE376">
            <v>22.880700000000001</v>
          </cell>
          <cell r="DO376">
            <v>376</v>
          </cell>
        </row>
        <row r="377">
          <cell r="A377" t="str">
            <v>Yuma, AZ Metro Area</v>
          </cell>
          <cell r="B377">
            <v>4027.6735995837998</v>
          </cell>
          <cell r="C377">
            <v>5629.77289105204</v>
          </cell>
          <cell r="D377">
            <v>5181.2575605710144</v>
          </cell>
          <cell r="E377">
            <v>4129.4260164819279</v>
          </cell>
          <cell r="F377">
            <v>546.64803030303028</v>
          </cell>
          <cell r="G377">
            <v>308.10123125121618</v>
          </cell>
          <cell r="H377">
            <v>792.85526574087226</v>
          </cell>
          <cell r="K377">
            <v>2753.5338703599768</v>
          </cell>
          <cell r="L377">
            <v>2309.1203068845134</v>
          </cell>
          <cell r="M377">
            <v>783.66026293808568</v>
          </cell>
          <cell r="N377">
            <v>329.41030000000001</v>
          </cell>
          <cell r="O377">
            <v>1576.9579802081994</v>
          </cell>
          <cell r="P377">
            <v>252.66329999999999</v>
          </cell>
          <cell r="R377">
            <v>23.0166</v>
          </cell>
          <cell r="S377">
            <v>929.81659999999999</v>
          </cell>
          <cell r="T377">
            <v>3136.2568387674646</v>
          </cell>
          <cell r="AC377">
            <v>25.621200000000002</v>
          </cell>
          <cell r="AM377">
            <v>8.0015999999999998</v>
          </cell>
          <cell r="AS377">
            <v>0</v>
          </cell>
          <cell r="AT377">
            <v>0.58389999999999997</v>
          </cell>
          <cell r="DO377">
            <v>377</v>
          </cell>
        </row>
      </sheetData>
      <sheetData sheetId="6">
        <row r="5">
          <cell r="A5" t="str">
            <v>Average of all U.S. metro areas</v>
          </cell>
          <cell r="B5">
            <v>6053.4850582880508</v>
          </cell>
          <cell r="C5">
            <v>4993.0704972728972</v>
          </cell>
          <cell r="D5">
            <v>3801.1716469294352</v>
          </cell>
          <cell r="E5">
            <v>3083.7544721493095</v>
          </cell>
          <cell r="F5">
            <v>2487.8540400614806</v>
          </cell>
          <cell r="G5">
            <v>2126.4832181203719</v>
          </cell>
          <cell r="H5">
            <v>1766.7080487540231</v>
          </cell>
          <cell r="I5">
            <v>1610.9264328378129</v>
          </cell>
          <cell r="J5">
            <v>1393.2169248602017</v>
          </cell>
          <cell r="K5">
            <v>1441.7239166156257</v>
          </cell>
          <cell r="L5">
            <v>1233.5189421170251</v>
          </cell>
          <cell r="M5">
            <v>1194.9003495486838</v>
          </cell>
          <cell r="N5">
            <v>1046.9843662720527</v>
          </cell>
          <cell r="O5">
            <v>992.07473979413726</v>
          </cell>
          <cell r="P5">
            <v>877.18963470559947</v>
          </cell>
          <cell r="Q5">
            <v>874.097011152341</v>
          </cell>
          <cell r="R5">
            <v>786.51384552820764</v>
          </cell>
          <cell r="S5">
            <v>681.25250183803962</v>
          </cell>
          <cell r="T5">
            <v>598.52853550026828</v>
          </cell>
          <cell r="U5">
            <v>553.50464782917379</v>
          </cell>
          <cell r="V5">
            <v>513.26793936926629</v>
          </cell>
          <cell r="W5">
            <v>482.31993868808752</v>
          </cell>
          <cell r="X5">
            <v>487.90391060444085</v>
          </cell>
          <cell r="Y5">
            <v>510.46303964133028</v>
          </cell>
          <cell r="Z5">
            <v>455.24544629022739</v>
          </cell>
          <cell r="AA5">
            <v>423.35076223736411</v>
          </cell>
          <cell r="AB5">
            <v>385.55818472166777</v>
          </cell>
          <cell r="AC5">
            <v>381.98286176043001</v>
          </cell>
          <cell r="AD5">
            <v>318.40991357941681</v>
          </cell>
          <cell r="AE5">
            <v>369.59147987384091</v>
          </cell>
          <cell r="AF5">
            <v>289.55119014522666</v>
          </cell>
          <cell r="AG5">
            <v>231.01846406213375</v>
          </cell>
          <cell r="AH5">
            <v>247.05688598562369</v>
          </cell>
          <cell r="AI5">
            <v>242.22466721964517</v>
          </cell>
          <cell r="AJ5">
            <v>209.11726318557567</v>
          </cell>
          <cell r="AK5">
            <v>190.88328046623704</v>
          </cell>
          <cell r="AL5">
            <v>214.99718140274581</v>
          </cell>
          <cell r="AM5">
            <v>204.77690645303517</v>
          </cell>
          <cell r="AN5">
            <v>137.97100747605745</v>
          </cell>
          <cell r="AO5">
            <v>116.17896526641297</v>
          </cell>
          <cell r="AP5">
            <v>93.441668125006814</v>
          </cell>
          <cell r="AQ5">
            <v>97.717270843175044</v>
          </cell>
          <cell r="AR5">
            <v>86.010976726326277</v>
          </cell>
          <cell r="AS5">
            <v>101.38728661835033</v>
          </cell>
          <cell r="AT5">
            <v>99.211041028168239</v>
          </cell>
          <cell r="AU5">
            <v>97.94440796483255</v>
          </cell>
          <cell r="AV5">
            <v>113.14452763991855</v>
          </cell>
          <cell r="AW5">
            <v>68.674331003671568</v>
          </cell>
          <cell r="AX5">
            <v>55.796051449116014</v>
          </cell>
          <cell r="AY5">
            <v>71.434374864734039</v>
          </cell>
          <cell r="AZ5">
            <v>71.397601013193139</v>
          </cell>
          <cell r="BA5">
            <v>88.740751637032304</v>
          </cell>
          <cell r="BB5">
            <v>63.783394301221598</v>
          </cell>
          <cell r="BC5">
            <v>59.289525800532516</v>
          </cell>
          <cell r="BD5">
            <v>53.510000590541559</v>
          </cell>
          <cell r="BE5">
            <v>47.782962847876767</v>
          </cell>
          <cell r="BF5">
            <v>89.407825427397924</v>
          </cell>
          <cell r="BG5">
            <v>80.361669847357334</v>
          </cell>
          <cell r="BH5">
            <v>54.844625109062981</v>
          </cell>
          <cell r="BI5">
            <v>47.132986811513945</v>
          </cell>
          <cell r="BJ5">
            <v>28.969927910377248</v>
          </cell>
          <cell r="BK5">
            <v>28.955524202252811</v>
          </cell>
          <cell r="BL5">
            <v>31.33827865289582</v>
          </cell>
          <cell r="BM5">
            <v>28.265804635040482</v>
          </cell>
          <cell r="BN5">
            <v>23.855190849221763</v>
          </cell>
          <cell r="BO5">
            <v>21.425366815899647</v>
          </cell>
          <cell r="BP5">
            <v>20.643952959330143</v>
          </cell>
          <cell r="BQ5">
            <v>22.367145154339482</v>
          </cell>
          <cell r="BR5">
            <v>29.750714650378615</v>
          </cell>
          <cell r="BS5">
            <v>18.983106418361714</v>
          </cell>
          <cell r="BT5">
            <v>11.348199646966268</v>
          </cell>
          <cell r="BU5">
            <v>30.353920862891666</v>
          </cell>
          <cell r="BV5">
            <v>24.480303043935077</v>
          </cell>
          <cell r="BW5">
            <v>18.145035512190692</v>
          </cell>
          <cell r="BX5">
            <v>12.986448741680842</v>
          </cell>
          <cell r="BY5">
            <v>17.005047198110447</v>
          </cell>
          <cell r="BZ5">
            <v>15.780707340264087</v>
          </cell>
          <cell r="CA5">
            <v>30.494319428389446</v>
          </cell>
          <cell r="CB5">
            <v>13.944564263790539</v>
          </cell>
          <cell r="CC5">
            <v>6.4871624172470073</v>
          </cell>
          <cell r="CD5">
            <v>3.0248749640907806</v>
          </cell>
          <cell r="CE5">
            <v>9.249703785475889</v>
          </cell>
          <cell r="CF5">
            <v>6.6957082165917559</v>
          </cell>
          <cell r="CG5">
            <v>11.724202935982346</v>
          </cell>
          <cell r="CH5">
            <v>16.347935068239327</v>
          </cell>
          <cell r="CI5">
            <v>14.138658753762545</v>
          </cell>
          <cell r="CJ5">
            <v>3.7988781420765028</v>
          </cell>
          <cell r="CK5">
            <v>2.411074286998538</v>
          </cell>
          <cell r="CL5">
            <v>0.77268032786885243</v>
          </cell>
          <cell r="CM5">
            <v>5.4067896174863384</v>
          </cell>
          <cell r="CN5">
            <v>1.0842793434920934</v>
          </cell>
          <cell r="CO5">
            <v>5.2963371584699459</v>
          </cell>
          <cell r="CP5">
            <v>0.63811393442622955</v>
          </cell>
          <cell r="CQ5">
            <v>0.76458797814207646</v>
          </cell>
          <cell r="CR5">
            <v>0.28154043715846994</v>
          </cell>
          <cell r="CS5">
            <v>0.68126065573770489</v>
          </cell>
          <cell r="CT5">
            <v>0.81357759562841536</v>
          </cell>
          <cell r="CU5">
            <v>0.91283660762621288</v>
          </cell>
          <cell r="CV5">
            <v>0.58683825136612022</v>
          </cell>
          <cell r="CW5">
            <v>0.57512732240437159</v>
          </cell>
          <cell r="CX5">
            <v>0.80715765027322395</v>
          </cell>
          <cell r="CY5">
            <v>4.6199453551912569E-3</v>
          </cell>
          <cell r="CZ5">
            <v>1.8352459016393442E-3</v>
          </cell>
          <cell r="DA5">
            <v>2.0224043715846999E-3</v>
          </cell>
          <cell r="DB5">
            <v>8.7983183060109287</v>
          </cell>
          <cell r="DC5">
            <v>5.0051092896174876E-2</v>
          </cell>
          <cell r="DD5">
            <v>5.0226172455759048</v>
          </cell>
          <cell r="DE5">
            <v>5.8886735350695663</v>
          </cell>
          <cell r="DF5">
            <v>8.4877868852459001E-2</v>
          </cell>
          <cell r="DG5">
            <v>2.3414207650273224E-2</v>
          </cell>
          <cell r="DH5">
            <v>0.18495928961748634</v>
          </cell>
          <cell r="DI5">
            <v>1.9639344262295084E-3</v>
          </cell>
          <cell r="DJ5">
            <v>9.7513387978142074E-2</v>
          </cell>
          <cell r="DK5">
            <v>3.3590163934426229E-3</v>
          </cell>
          <cell r="DL5">
            <v>4.404918032786885E-3</v>
          </cell>
          <cell r="DO5">
            <v>5</v>
          </cell>
        </row>
        <row r="6">
          <cell r="A6" t="str">
            <v>Average of U.S. metro areas of 5,000,000 or more</v>
          </cell>
          <cell r="B6">
            <v>23613.755225950885</v>
          </cell>
          <cell r="C6">
            <v>25095.899453662125</v>
          </cell>
          <cell r="D6">
            <v>22159.595525289278</v>
          </cell>
          <cell r="E6">
            <v>19731.754646489077</v>
          </cell>
          <cell r="F6">
            <v>19737.717830887908</v>
          </cell>
          <cell r="G6">
            <v>18908.819922349798</v>
          </cell>
          <cell r="H6">
            <v>16789.829376004465</v>
          </cell>
          <cell r="I6">
            <v>16418.800869119877</v>
          </cell>
          <cell r="J6">
            <v>12933.993011589242</v>
          </cell>
          <cell r="K6">
            <v>12956.451627805214</v>
          </cell>
          <cell r="L6">
            <v>11521.945051138729</v>
          </cell>
          <cell r="M6">
            <v>11541.23940445108</v>
          </cell>
          <cell r="N6">
            <v>9754.9546470194582</v>
          </cell>
          <cell r="O6">
            <v>7930.3505799502418</v>
          </cell>
          <cell r="P6">
            <v>6947.0007448213109</v>
          </cell>
          <cell r="Q6">
            <v>6314.143282614933</v>
          </cell>
          <cell r="R6">
            <v>5601.447609395902</v>
          </cell>
          <cell r="S6">
            <v>5624.2178038189586</v>
          </cell>
          <cell r="T6">
            <v>5034.8812250197652</v>
          </cell>
          <cell r="U6">
            <v>5404.6001650635953</v>
          </cell>
          <cell r="V6">
            <v>4810.08404039789</v>
          </cell>
          <cell r="W6">
            <v>3953.3823639968814</v>
          </cell>
          <cell r="X6">
            <v>4104.990664465834</v>
          </cell>
          <cell r="Y6">
            <v>3714.5830029338281</v>
          </cell>
          <cell r="Z6">
            <v>3940.3629737213423</v>
          </cell>
          <cell r="AA6">
            <v>3824.1338470976025</v>
          </cell>
          <cell r="AB6">
            <v>3655.3067756347436</v>
          </cell>
          <cell r="AC6">
            <v>3419.5949283378641</v>
          </cell>
          <cell r="AD6">
            <v>3388.5269564513096</v>
          </cell>
          <cell r="AE6">
            <v>3957.5568012211902</v>
          </cell>
          <cell r="AF6">
            <v>3324.8718519658396</v>
          </cell>
          <cell r="AG6">
            <v>3527.1593866447629</v>
          </cell>
          <cell r="AH6">
            <v>3044.6715517853413</v>
          </cell>
          <cell r="AI6">
            <v>3459.1648035383805</v>
          </cell>
          <cell r="AJ6">
            <v>3192.629259092394</v>
          </cell>
          <cell r="AK6">
            <v>2752.8546524881649</v>
          </cell>
          <cell r="AL6">
            <v>2967.5209513620284</v>
          </cell>
          <cell r="AM6">
            <v>2691.1642922084238</v>
          </cell>
          <cell r="AN6">
            <v>2002.5621020180233</v>
          </cell>
          <cell r="AO6">
            <v>1877.522398287841</v>
          </cell>
          <cell r="AP6">
            <v>1528.9182911575413</v>
          </cell>
          <cell r="AQ6">
            <v>1968.7651757336384</v>
          </cell>
          <cell r="AR6">
            <v>1926.7676284139986</v>
          </cell>
          <cell r="AS6">
            <v>1898.4508630076207</v>
          </cell>
          <cell r="AT6">
            <v>1999.691086822023</v>
          </cell>
          <cell r="AU6">
            <v>1589.0337980918068</v>
          </cell>
          <cell r="AV6">
            <v>2234.4247570134976</v>
          </cell>
          <cell r="AW6">
            <v>1970.9923760104075</v>
          </cell>
          <cell r="AX6">
            <v>1726.7081524018311</v>
          </cell>
          <cell r="AY6">
            <v>1666.4097058005379</v>
          </cell>
          <cell r="AZ6">
            <v>1993.8965319872498</v>
          </cell>
          <cell r="BA6">
            <v>2036.5745635136643</v>
          </cell>
          <cell r="BB6">
            <v>1423.5164839267898</v>
          </cell>
          <cell r="BC6">
            <v>910.62556967772673</v>
          </cell>
          <cell r="BD6">
            <v>1063.4419469328975</v>
          </cell>
          <cell r="BE6">
            <v>899.46694212867123</v>
          </cell>
          <cell r="BF6">
            <v>1536.8807212288968</v>
          </cell>
          <cell r="BG6">
            <v>1646.0499514202254</v>
          </cell>
          <cell r="BH6">
            <v>1744.4924749134575</v>
          </cell>
          <cell r="BI6">
            <v>932.33583162279626</v>
          </cell>
          <cell r="BJ6">
            <v>779.54537925664022</v>
          </cell>
          <cell r="BK6">
            <v>850.35344380625691</v>
          </cell>
          <cell r="BL6">
            <v>983.57893216163006</v>
          </cell>
          <cell r="BM6">
            <v>918.03856437620823</v>
          </cell>
          <cell r="BN6">
            <v>570.22269219548843</v>
          </cell>
          <cell r="BO6">
            <v>395.11315581122733</v>
          </cell>
          <cell r="BP6">
            <v>502.84929441401647</v>
          </cell>
          <cell r="BQ6">
            <v>403.05085649625471</v>
          </cell>
          <cell r="BR6">
            <v>606.89848553865795</v>
          </cell>
          <cell r="BS6">
            <v>348.82928168736686</v>
          </cell>
          <cell r="BT6">
            <v>336.12237388832796</v>
          </cell>
          <cell r="BU6">
            <v>670.03809893122843</v>
          </cell>
          <cell r="BV6">
            <v>360.37346488526538</v>
          </cell>
          <cell r="BW6">
            <v>342.49394416242143</v>
          </cell>
          <cell r="BX6">
            <v>426.51962660613202</v>
          </cell>
          <cell r="BY6">
            <v>530.29100827871378</v>
          </cell>
          <cell r="BZ6">
            <v>392.51276940932712</v>
          </cell>
          <cell r="CA6">
            <v>736.58869300246147</v>
          </cell>
          <cell r="CB6">
            <v>227.84675783859308</v>
          </cell>
          <cell r="CC6">
            <v>257.95578627588901</v>
          </cell>
          <cell r="CD6">
            <v>109.49581490152683</v>
          </cell>
          <cell r="CE6">
            <v>325.13098727601948</v>
          </cell>
          <cell r="CF6">
            <v>253.43216106522758</v>
          </cell>
          <cell r="CG6">
            <v>293.38294111966957</v>
          </cell>
          <cell r="CH6">
            <v>345.5762998518519</v>
          </cell>
          <cell r="CI6">
            <v>386.35285165854134</v>
          </cell>
          <cell r="CJ6">
            <v>0</v>
          </cell>
          <cell r="CK6">
            <v>0</v>
          </cell>
          <cell r="CL6">
            <v>30.997800000000002</v>
          </cell>
          <cell r="CM6">
            <v>219.8761111111111</v>
          </cell>
          <cell r="CN6">
            <v>18.94993774645625</v>
          </cell>
          <cell r="CO6">
            <v>64.032977777777774</v>
          </cell>
          <cell r="CP6">
            <v>24.861911111111112</v>
          </cell>
          <cell r="CQ6">
            <v>0</v>
          </cell>
          <cell r="CR6">
            <v>0</v>
          </cell>
          <cell r="CS6">
            <v>27.704599999999999</v>
          </cell>
          <cell r="CT6">
            <v>31.556799999999996</v>
          </cell>
          <cell r="CU6">
            <v>36.601877599021549</v>
          </cell>
          <cell r="CV6">
            <v>0</v>
          </cell>
          <cell r="CW6">
            <v>23.105433333333334</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O6">
            <v>6</v>
          </cell>
        </row>
        <row r="7">
          <cell r="A7" t="str">
            <v>Average of U.S. metro areas of 2,500,000 to 4,999,999</v>
          </cell>
          <cell r="B7">
            <v>17973.218920215932</v>
          </cell>
          <cell r="C7">
            <v>14485.981928854286</v>
          </cell>
          <cell r="D7">
            <v>10997.262976670941</v>
          </cell>
          <cell r="E7">
            <v>9988.1120521052053</v>
          </cell>
          <cell r="F7">
            <v>9386.572560835928</v>
          </cell>
          <cell r="G7">
            <v>7923.802363909931</v>
          </cell>
          <cell r="H7">
            <v>6884.968559249337</v>
          </cell>
          <cell r="I7">
            <v>6255.1373196668819</v>
          </cell>
          <cell r="J7">
            <v>6139.0603740785327</v>
          </cell>
          <cell r="K7">
            <v>6188.7537207260457</v>
          </cell>
          <cell r="L7">
            <v>5366.429189871681</v>
          </cell>
          <cell r="M7">
            <v>5041.8903646591307</v>
          </cell>
          <cell r="N7">
            <v>4442.5332256154697</v>
          </cell>
          <cell r="O7">
            <v>4786.2454953922042</v>
          </cell>
          <cell r="P7">
            <v>4061.502666023503</v>
          </cell>
          <cell r="Q7">
            <v>3764.8494779645584</v>
          </cell>
          <cell r="R7">
            <v>3447.0812169684073</v>
          </cell>
          <cell r="S7">
            <v>3538.176800641199</v>
          </cell>
          <cell r="T7">
            <v>3297.0541579856767</v>
          </cell>
          <cell r="U7">
            <v>3196.7614329932462</v>
          </cell>
          <cell r="V7">
            <v>3055.6965066154785</v>
          </cell>
          <cell r="W7">
            <v>2432.2602386202229</v>
          </cell>
          <cell r="X7">
            <v>2564.3765706594854</v>
          </cell>
          <cell r="Y7">
            <v>3295.6822440578721</v>
          </cell>
          <cell r="Z7">
            <v>2774.8021058328809</v>
          </cell>
          <cell r="AA7">
            <v>2338.8692555247276</v>
          </cell>
          <cell r="AB7">
            <v>2449.9527352219802</v>
          </cell>
          <cell r="AC7">
            <v>2387.1632843712973</v>
          </cell>
          <cell r="AD7">
            <v>2084.7809523473643</v>
          </cell>
          <cell r="AE7">
            <v>2790.7771003151297</v>
          </cell>
          <cell r="AF7">
            <v>2027.9691686259139</v>
          </cell>
          <cell r="AG7">
            <v>1417.5550027911713</v>
          </cell>
          <cell r="AH7">
            <v>1749.4227029408703</v>
          </cell>
          <cell r="AI7">
            <v>1513.4885957929273</v>
          </cell>
          <cell r="AJ7">
            <v>1731.9192085262209</v>
          </cell>
          <cell r="AK7">
            <v>1717.5112932710326</v>
          </cell>
          <cell r="AL7">
            <v>1208.815273664474</v>
          </cell>
          <cell r="AM7">
            <v>1339.9478083305594</v>
          </cell>
          <cell r="AN7">
            <v>1147.1741867156186</v>
          </cell>
          <cell r="AO7">
            <v>563.35406774955982</v>
          </cell>
          <cell r="AP7">
            <v>520.71358017458226</v>
          </cell>
          <cell r="AQ7">
            <v>538.27724632911566</v>
          </cell>
          <cell r="AR7">
            <v>324.19277778029965</v>
          </cell>
          <cell r="AS7">
            <v>406.69513139502783</v>
          </cell>
          <cell r="AT7">
            <v>226.56051303730757</v>
          </cell>
          <cell r="AU7">
            <v>691.02520855995317</v>
          </cell>
          <cell r="AV7">
            <v>419.72823196860173</v>
          </cell>
          <cell r="AW7">
            <v>156.86676042187818</v>
          </cell>
          <cell r="AX7">
            <v>297.8445978315961</v>
          </cell>
          <cell r="AY7">
            <v>430.4090712092252</v>
          </cell>
          <cell r="AZ7">
            <v>369.64343446425886</v>
          </cell>
          <cell r="BA7">
            <v>576.47576821403743</v>
          </cell>
          <cell r="BB7">
            <v>493.54058491681371</v>
          </cell>
          <cell r="BC7">
            <v>738.80518004578971</v>
          </cell>
          <cell r="BD7">
            <v>422.96032187136933</v>
          </cell>
          <cell r="BE7">
            <v>161.55461764103387</v>
          </cell>
          <cell r="BF7">
            <v>435.60110989804269</v>
          </cell>
          <cell r="BG7">
            <v>208.14427004686331</v>
          </cell>
          <cell r="BH7">
            <v>164.60891598101273</v>
          </cell>
          <cell r="BI7">
            <v>390.09359903460614</v>
          </cell>
          <cell r="BJ7">
            <v>200.00347515735916</v>
          </cell>
          <cell r="BK7">
            <v>140.58486364735137</v>
          </cell>
          <cell r="BL7">
            <v>140.59596645876675</v>
          </cell>
          <cell r="BM7">
            <v>173.22334308657864</v>
          </cell>
          <cell r="BN7">
            <v>298.59599342131406</v>
          </cell>
          <cell r="BO7">
            <v>355.56432102651866</v>
          </cell>
          <cell r="BP7">
            <v>251.41236111572371</v>
          </cell>
          <cell r="BQ7">
            <v>378.35431816849638</v>
          </cell>
          <cell r="BR7">
            <v>416.89848513147075</v>
          </cell>
          <cell r="BS7">
            <v>315.56180116117372</v>
          </cell>
          <cell r="BT7">
            <v>94.028308816225163</v>
          </cell>
          <cell r="BU7">
            <v>386.10808711977444</v>
          </cell>
          <cell r="BV7">
            <v>328.7619462851406</v>
          </cell>
          <cell r="BW7">
            <v>17.059225000000001</v>
          </cell>
          <cell r="BX7">
            <v>61.085816666666666</v>
          </cell>
          <cell r="BY7">
            <v>5.1131500000000001</v>
          </cell>
          <cell r="BZ7">
            <v>43.564513487726011</v>
          </cell>
          <cell r="CA7">
            <v>1.2516916666666666</v>
          </cell>
          <cell r="CB7">
            <v>0</v>
          </cell>
          <cell r="CC7">
            <v>0</v>
          </cell>
          <cell r="CD7">
            <v>0</v>
          </cell>
          <cell r="CE7">
            <v>0.17189166666666666</v>
          </cell>
          <cell r="CF7">
            <v>8.3321000000000005</v>
          </cell>
          <cell r="CG7">
            <v>0</v>
          </cell>
          <cell r="CH7">
            <v>0</v>
          </cell>
          <cell r="CI7">
            <v>0</v>
          </cell>
          <cell r="CJ7">
            <v>4.9566666666666669E-2</v>
          </cell>
          <cell r="CK7">
            <v>0</v>
          </cell>
          <cell r="CL7">
            <v>0</v>
          </cell>
          <cell r="CM7">
            <v>0</v>
          </cell>
          <cell r="CN7">
            <v>0</v>
          </cell>
          <cell r="CO7">
            <v>0</v>
          </cell>
          <cell r="CP7">
            <v>0.81604166666666667</v>
          </cell>
          <cell r="CQ7">
            <v>23.319933333333335</v>
          </cell>
          <cell r="CR7">
            <v>8.5869833333333343</v>
          </cell>
          <cell r="CS7">
            <v>0</v>
          </cell>
          <cell r="CT7">
            <v>1.1465166666666666</v>
          </cell>
          <cell r="CU7">
            <v>0</v>
          </cell>
          <cell r="CV7">
            <v>17.605516666666666</v>
          </cell>
          <cell r="CW7">
            <v>0</v>
          </cell>
          <cell r="CX7">
            <v>0</v>
          </cell>
          <cell r="CY7">
            <v>0.14090833333333333</v>
          </cell>
          <cell r="CZ7">
            <v>0</v>
          </cell>
          <cell r="DA7">
            <v>6.168333333333334E-2</v>
          </cell>
          <cell r="DB7">
            <v>268.34870833333332</v>
          </cell>
          <cell r="DC7">
            <v>1.5265583333333337</v>
          </cell>
          <cell r="DD7">
            <v>153.18982599006509</v>
          </cell>
          <cell r="DE7">
            <v>179.60454281962177</v>
          </cell>
          <cell r="DF7">
            <v>2.5887749999999996</v>
          </cell>
          <cell r="DG7">
            <v>0.71413333333333329</v>
          </cell>
          <cell r="DH7">
            <v>5.641258333333333</v>
          </cell>
          <cell r="DI7">
            <v>5.9900000000000002E-2</v>
          </cell>
          <cell r="DJ7">
            <v>2.9741583333333335</v>
          </cell>
          <cell r="DK7">
            <v>0</v>
          </cell>
          <cell r="DL7">
            <v>0</v>
          </cell>
          <cell r="DO7">
            <v>7</v>
          </cell>
        </row>
        <row r="8">
          <cell r="A8" t="str">
            <v>Average of U.S. metro areas of 1,000,000 to 2,499,999</v>
          </cell>
          <cell r="B8">
            <v>7228.3363047605653</v>
          </cell>
          <cell r="C8">
            <v>7667.0585126410106</v>
          </cell>
          <cell r="D8">
            <v>6715.4876686510697</v>
          </cell>
          <cell r="E8">
            <v>5678.4472043557289</v>
          </cell>
          <cell r="F8">
            <v>5297.5615358632822</v>
          </cell>
          <cell r="G8">
            <v>4688.4670524672947</v>
          </cell>
          <cell r="H8">
            <v>4230.1144132243153</v>
          </cell>
          <cell r="I8">
            <v>3810.1684097212446</v>
          </cell>
          <cell r="J8">
            <v>3438.5753020398397</v>
          </cell>
          <cell r="K8">
            <v>3169.1924312188207</v>
          </cell>
          <cell r="L8">
            <v>3054.9816297899829</v>
          </cell>
          <cell r="M8">
            <v>2717.7691703415194</v>
          </cell>
          <cell r="N8">
            <v>2608.311827669283</v>
          </cell>
          <cell r="O8">
            <v>2327.0610988129288</v>
          </cell>
          <cell r="P8">
            <v>1974.0661548683051</v>
          </cell>
          <cell r="Q8">
            <v>1972.2520259701885</v>
          </cell>
          <cell r="R8">
            <v>2025.1194259577619</v>
          </cell>
          <cell r="S8">
            <v>1576.2577452799144</v>
          </cell>
          <cell r="T8">
            <v>1346.6038962036798</v>
          </cell>
          <cell r="U8">
            <v>1089.8255600664868</v>
          </cell>
          <cell r="V8">
            <v>1001.8384203226449</v>
          </cell>
          <cell r="W8">
            <v>1100.6398787395374</v>
          </cell>
          <cell r="X8">
            <v>810.59022668071589</v>
          </cell>
          <cell r="Y8">
            <v>862.09505803234902</v>
          </cell>
          <cell r="Z8">
            <v>821.56017129693794</v>
          </cell>
          <cell r="AA8">
            <v>978.57892904417656</v>
          </cell>
          <cell r="AB8">
            <v>764.12971828310697</v>
          </cell>
          <cell r="AC8">
            <v>1430.1860440500025</v>
          </cell>
          <cell r="AD8">
            <v>1040.8800734793301</v>
          </cell>
          <cell r="AE8">
            <v>970.08405809166732</v>
          </cell>
          <cell r="AF8">
            <v>706.00240703179782</v>
          </cell>
          <cell r="AG8">
            <v>518.95242682286778</v>
          </cell>
          <cell r="AH8">
            <v>589.35157759330536</v>
          </cell>
          <cell r="AI8">
            <v>473.52864181564905</v>
          </cell>
          <cell r="AJ8">
            <v>257.15503778742357</v>
          </cell>
          <cell r="AK8">
            <v>338.6461364098177</v>
          </cell>
          <cell r="AL8">
            <v>537.47274494495718</v>
          </cell>
          <cell r="AM8">
            <v>469.09398513405239</v>
          </cell>
          <cell r="AN8">
            <v>282.6244715102452</v>
          </cell>
          <cell r="AO8">
            <v>465.68211558291745</v>
          </cell>
          <cell r="AP8">
            <v>244.99246768173302</v>
          </cell>
          <cell r="AQ8">
            <v>159.20066516822149</v>
          </cell>
          <cell r="AR8">
            <v>203.83710376096266</v>
          </cell>
          <cell r="AS8">
            <v>333.55748645921904</v>
          </cell>
          <cell r="AT8">
            <v>302.41147890922088</v>
          </cell>
          <cell r="AU8">
            <v>20.970232927991216</v>
          </cell>
          <cell r="AV8">
            <v>126.32615921763478</v>
          </cell>
          <cell r="AW8">
            <v>34.572161047781869</v>
          </cell>
          <cell r="AX8">
            <v>19.065467345733612</v>
          </cell>
          <cell r="AY8">
            <v>58.360742718645525</v>
          </cell>
          <cell r="AZ8">
            <v>68.582623321222655</v>
          </cell>
          <cell r="BA8">
            <v>61.346014831601948</v>
          </cell>
          <cell r="BB8">
            <v>12.487046596345612</v>
          </cell>
          <cell r="BC8">
            <v>37.09491647867592</v>
          </cell>
          <cell r="BD8">
            <v>14.698643705355039</v>
          </cell>
          <cell r="BE8">
            <v>1.0751372272303388</v>
          </cell>
          <cell r="BF8">
            <v>8.6295800000000007</v>
          </cell>
          <cell r="BG8">
            <v>0</v>
          </cell>
          <cell r="BH8">
            <v>5.7869426251393792</v>
          </cell>
          <cell r="BI8">
            <v>13.891986666666666</v>
          </cell>
          <cell r="BJ8">
            <v>0</v>
          </cell>
          <cell r="BK8">
            <v>3.3376633333333334</v>
          </cell>
          <cell r="BL8">
            <v>0</v>
          </cell>
          <cell r="BM8">
            <v>0</v>
          </cell>
          <cell r="BN8">
            <v>0</v>
          </cell>
          <cell r="BO8">
            <v>0.13291666666666666</v>
          </cell>
          <cell r="BP8">
            <v>0</v>
          </cell>
          <cell r="BQ8">
            <v>0.60849999999999993</v>
          </cell>
          <cell r="BR8">
            <v>1.644E-2</v>
          </cell>
          <cell r="BS8">
            <v>0.47986000000000001</v>
          </cell>
          <cell r="BT8">
            <v>0</v>
          </cell>
          <cell r="BU8">
            <v>14.86317</v>
          </cell>
          <cell r="BV8">
            <v>58.725813333333335</v>
          </cell>
          <cell r="BW8">
            <v>111.11356333333333</v>
          </cell>
          <cell r="BX8">
            <v>6.0427499999999998</v>
          </cell>
          <cell r="BY8">
            <v>46.329013333333336</v>
          </cell>
          <cell r="BZ8">
            <v>0</v>
          </cell>
          <cell r="CA8">
            <v>64.512086143375242</v>
          </cell>
          <cell r="CB8">
            <v>0</v>
          </cell>
          <cell r="CC8">
            <v>1.1894989409801247</v>
          </cell>
          <cell r="CD8">
            <v>1.0367100914494742</v>
          </cell>
          <cell r="CE8">
            <v>15.238333333333333</v>
          </cell>
          <cell r="CF8">
            <v>2.2792585895178195</v>
          </cell>
          <cell r="CG8">
            <v>55.020393483083744</v>
          </cell>
          <cell r="CH8">
            <v>95.77191787696421</v>
          </cell>
          <cell r="CI8">
            <v>56.585781298340628</v>
          </cell>
          <cell r="CJ8">
            <v>46.286740000000002</v>
          </cell>
          <cell r="CK8">
            <v>29.41510630138216</v>
          </cell>
          <cell r="CL8">
            <v>0</v>
          </cell>
          <cell r="CM8">
            <v>0</v>
          </cell>
          <cell r="CN8">
            <v>7.5432266666666665</v>
          </cell>
          <cell r="CO8">
            <v>45.405420000000007</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O8">
            <v>8</v>
          </cell>
        </row>
        <row r="9">
          <cell r="A9" t="str">
            <v>Average of U.S. metro areas of 500,000 to 999,999</v>
          </cell>
          <cell r="B9">
            <v>7448.2708703717253</v>
          </cell>
          <cell r="C9">
            <v>5792.2652678146815</v>
          </cell>
          <cell r="D9">
            <v>4491.2852145192464</v>
          </cell>
          <cell r="E9">
            <v>3786.2754117745226</v>
          </cell>
          <cell r="F9">
            <v>3210.2327545081343</v>
          </cell>
          <cell r="G9">
            <v>2616.523477806983</v>
          </cell>
          <cell r="H9">
            <v>2267.1005467847644</v>
          </cell>
          <cell r="I9">
            <v>2169.9297491925754</v>
          </cell>
          <cell r="J9">
            <v>1994.7692983017591</v>
          </cell>
          <cell r="K9">
            <v>1836.5862637835312</v>
          </cell>
          <cell r="L9">
            <v>1703.0733110862086</v>
          </cell>
          <cell r="M9">
            <v>1764.6756760140013</v>
          </cell>
          <cell r="N9">
            <v>1541.2250365407203</v>
          </cell>
          <cell r="O9">
            <v>1452.6405008517825</v>
          </cell>
          <cell r="P9">
            <v>1242.4878912734885</v>
          </cell>
          <cell r="Q9">
            <v>1406.7583344265036</v>
          </cell>
          <cell r="R9">
            <v>1079.1187989357436</v>
          </cell>
          <cell r="S9">
            <v>935.96900906505186</v>
          </cell>
          <cell r="T9">
            <v>870.21570291077262</v>
          </cell>
          <cell r="U9">
            <v>869.61035982878923</v>
          </cell>
          <cell r="V9">
            <v>845.65230624838682</v>
          </cell>
          <cell r="W9">
            <v>694.37209959352288</v>
          </cell>
          <cell r="X9">
            <v>861.06858147741673</v>
          </cell>
          <cell r="Y9">
            <v>796.53581246492251</v>
          </cell>
          <cell r="Z9">
            <v>639.98291669003697</v>
          </cell>
          <cell r="AA9">
            <v>719.26781505809447</v>
          </cell>
          <cell r="AB9">
            <v>602.92545750933175</v>
          </cell>
          <cell r="AC9">
            <v>567.8388511073988</v>
          </cell>
          <cell r="AD9">
            <v>433.21700120609404</v>
          </cell>
          <cell r="AE9">
            <v>523.33064753072972</v>
          </cell>
          <cell r="AF9">
            <v>343.42163071904537</v>
          </cell>
          <cell r="AG9">
            <v>318.76105468234056</v>
          </cell>
          <cell r="AH9">
            <v>332.54343704502611</v>
          </cell>
          <cell r="AI9">
            <v>264.86210947747293</v>
          </cell>
          <cell r="AJ9">
            <v>319.01529964779138</v>
          </cell>
          <cell r="AK9">
            <v>216.16553442015987</v>
          </cell>
          <cell r="AL9">
            <v>210.55028578670431</v>
          </cell>
          <cell r="AM9">
            <v>249.27264707577709</v>
          </cell>
          <cell r="AN9">
            <v>121.07862556910369</v>
          </cell>
          <cell r="AO9">
            <v>83.408219803525355</v>
          </cell>
          <cell r="AP9">
            <v>111.1971154054177</v>
          </cell>
          <cell r="AQ9">
            <v>120.31682031378976</v>
          </cell>
          <cell r="AR9">
            <v>63.494030399476678</v>
          </cell>
          <cell r="AS9">
            <v>46.055345098039218</v>
          </cell>
          <cell r="AT9">
            <v>112.12858901742869</v>
          </cell>
          <cell r="AU9">
            <v>114.77080192058405</v>
          </cell>
          <cell r="AV9">
            <v>25.437803719880545</v>
          </cell>
          <cell r="AW9">
            <v>2.2833313725490196</v>
          </cell>
          <cell r="AX9">
            <v>2.6758894982123484</v>
          </cell>
          <cell r="AY9">
            <v>76.089341176470583</v>
          </cell>
          <cell r="AZ9">
            <v>5.6363040793265302</v>
          </cell>
          <cell r="BA9">
            <v>0.31021764705882349</v>
          </cell>
          <cell r="BB9">
            <v>27.743853113518004</v>
          </cell>
          <cell r="BC9">
            <v>0</v>
          </cell>
          <cell r="BD9">
            <v>0</v>
          </cell>
          <cell r="BE9">
            <v>0</v>
          </cell>
          <cell r="BF9">
            <v>0.66614705882352943</v>
          </cell>
          <cell r="BG9">
            <v>0</v>
          </cell>
          <cell r="BH9">
            <v>3.4790196078431375E-2</v>
          </cell>
          <cell r="BI9">
            <v>18.65590883623582</v>
          </cell>
          <cell r="BJ9">
            <v>23.27536274509804</v>
          </cell>
          <cell r="BK9">
            <v>0.8915333333333334</v>
          </cell>
          <cell r="BL9">
            <v>16.369096078431372</v>
          </cell>
          <cell r="BM9">
            <v>3.6572549019607846E-2</v>
          </cell>
          <cell r="BN9">
            <v>0</v>
          </cell>
          <cell r="BO9">
            <v>6.4654901960784314E-2</v>
          </cell>
          <cell r="BP9">
            <v>0</v>
          </cell>
          <cell r="BQ9">
            <v>0</v>
          </cell>
          <cell r="BR9">
            <v>0.38334705882352937</v>
          </cell>
          <cell r="BS9">
            <v>8.4994117647058817E-2</v>
          </cell>
          <cell r="BT9">
            <v>0</v>
          </cell>
          <cell r="BU9">
            <v>0</v>
          </cell>
          <cell r="BV9">
            <v>0</v>
          </cell>
          <cell r="BW9">
            <v>0.40235098039215683</v>
          </cell>
          <cell r="BX9">
            <v>0</v>
          </cell>
          <cell r="BY9">
            <v>0</v>
          </cell>
          <cell r="BZ9">
            <v>33.732349019607845</v>
          </cell>
          <cell r="CA9">
            <v>50.575462538571109</v>
          </cell>
          <cell r="CB9">
            <v>31.711107843137253</v>
          </cell>
          <cell r="CC9">
            <v>0.33361568627450977</v>
          </cell>
          <cell r="CD9">
            <v>1.7753058823529411</v>
          </cell>
          <cell r="CE9">
            <v>0</v>
          </cell>
          <cell r="CF9">
            <v>0</v>
          </cell>
          <cell r="CG9">
            <v>0</v>
          </cell>
          <cell r="CH9">
            <v>0</v>
          </cell>
          <cell r="CI9">
            <v>0</v>
          </cell>
          <cell r="CJ9">
            <v>2.3380392156862745E-2</v>
          </cell>
          <cell r="CK9">
            <v>0</v>
          </cell>
          <cell r="CL9">
            <v>0</v>
          </cell>
          <cell r="CM9">
            <v>0</v>
          </cell>
          <cell r="CN9">
            <v>0</v>
          </cell>
          <cell r="CO9">
            <v>0</v>
          </cell>
          <cell r="CP9">
            <v>0</v>
          </cell>
          <cell r="CQ9">
            <v>0</v>
          </cell>
          <cell r="CR9">
            <v>0</v>
          </cell>
          <cell r="CS9">
            <v>0</v>
          </cell>
          <cell r="CT9">
            <v>0</v>
          </cell>
          <cell r="CU9">
            <v>0</v>
          </cell>
          <cell r="CV9">
            <v>0</v>
          </cell>
          <cell r="CW9">
            <v>4.9954901960784309E-2</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3.1611764705882353E-2</v>
          </cell>
          <cell r="DO9">
            <v>9</v>
          </cell>
        </row>
        <row r="10">
          <cell r="A10" t="str">
            <v>Average of U.S. metro areas of 250,000 to 499,999</v>
          </cell>
          <cell r="B10">
            <v>5440.7087011247831</v>
          </cell>
          <cell r="C10">
            <v>4594.3973956283771</v>
          </cell>
          <cell r="D10">
            <v>3388.4724382831218</v>
          </cell>
          <cell r="E10">
            <v>3043.6998380020223</v>
          </cell>
          <cell r="F10">
            <v>1955.0531529576429</v>
          </cell>
          <cell r="G10">
            <v>1712.3481108819954</v>
          </cell>
          <cell r="H10">
            <v>1309.2905969527619</v>
          </cell>
          <cell r="I10">
            <v>1195.4980735529252</v>
          </cell>
          <cell r="J10">
            <v>904.97680748704977</v>
          </cell>
          <cell r="K10">
            <v>1147.6621325622496</v>
          </cell>
          <cell r="L10">
            <v>828.99675228388799</v>
          </cell>
          <cell r="M10">
            <v>777.11272128728751</v>
          </cell>
          <cell r="N10">
            <v>553.03894161029984</v>
          </cell>
          <cell r="O10">
            <v>526.04398666896191</v>
          </cell>
          <cell r="P10">
            <v>727.11684170055764</v>
          </cell>
          <cell r="Q10">
            <v>764.08748259007518</v>
          </cell>
          <cell r="R10">
            <v>692.04718383356783</v>
          </cell>
          <cell r="S10">
            <v>525.59118541020928</v>
          </cell>
          <cell r="T10">
            <v>343.65197586244841</v>
          </cell>
          <cell r="U10">
            <v>293.04260589360058</v>
          </cell>
          <cell r="V10">
            <v>300.24269820519862</v>
          </cell>
          <cell r="W10">
            <v>311.13712240942334</v>
          </cell>
          <cell r="X10">
            <v>321.49676067663245</v>
          </cell>
          <cell r="Y10">
            <v>377.62477842778731</v>
          </cell>
          <cell r="Z10">
            <v>299.17623378071335</v>
          </cell>
          <cell r="AA10">
            <v>173.76435076222288</v>
          </cell>
          <cell r="AB10">
            <v>175.27270599817228</v>
          </cell>
          <cell r="AC10">
            <v>74.564806787759835</v>
          </cell>
          <cell r="AD10">
            <v>51.513324973899181</v>
          </cell>
          <cell r="AE10">
            <v>74.635125788524846</v>
          </cell>
          <cell r="AF10">
            <v>90.503600010061078</v>
          </cell>
          <cell r="AG10">
            <v>46.257165121446896</v>
          </cell>
          <cell r="AH10">
            <v>83.443980795880563</v>
          </cell>
          <cell r="AI10">
            <v>127.90964003913382</v>
          </cell>
          <cell r="AJ10">
            <v>17.313276108082412</v>
          </cell>
          <cell r="AK10">
            <v>29.197983210703878</v>
          </cell>
          <cell r="AL10">
            <v>7.0145231620984791</v>
          </cell>
          <cell r="AM10">
            <v>5.0113998112000786</v>
          </cell>
          <cell r="AN10">
            <v>43.553958879948233</v>
          </cell>
          <cell r="AO10">
            <v>7.0855452974497277</v>
          </cell>
          <cell r="AP10">
            <v>5.4540914634146338</v>
          </cell>
          <cell r="AQ10">
            <v>2.1992158536585364</v>
          </cell>
          <cell r="AR10">
            <v>7.9153719512195124</v>
          </cell>
          <cell r="AS10">
            <v>31.957655263054775</v>
          </cell>
          <cell r="AT10">
            <v>0.19992195121951217</v>
          </cell>
          <cell r="AU10">
            <v>79.891960290164562</v>
          </cell>
          <cell r="AV10">
            <v>98.787562736560204</v>
          </cell>
          <cell r="AW10">
            <v>28.385964634146344</v>
          </cell>
          <cell r="AX10">
            <v>7.297706097560976</v>
          </cell>
          <cell r="AY10">
            <v>4.1163623441188895</v>
          </cell>
          <cell r="AZ10">
            <v>11.106297093780423</v>
          </cell>
          <cell r="BA10">
            <v>61.456843463589507</v>
          </cell>
          <cell r="BB10">
            <v>33.975462600298194</v>
          </cell>
          <cell r="BC10">
            <v>27.542244715590336</v>
          </cell>
          <cell r="BD10">
            <v>48.165147686899473</v>
          </cell>
          <cell r="BE10">
            <v>89.506771886043154</v>
          </cell>
          <cell r="BF10">
            <v>135.20335410476903</v>
          </cell>
          <cell r="BG10">
            <v>104.6653104974195</v>
          </cell>
          <cell r="BH10">
            <v>26.828901273289642</v>
          </cell>
          <cell r="BI10">
            <v>28.555795723727236</v>
          </cell>
          <cell r="BJ10">
            <v>0</v>
          </cell>
          <cell r="BK10">
            <v>13.560053658536587</v>
          </cell>
          <cell r="BL10">
            <v>1.1661475609756098</v>
          </cell>
          <cell r="BM10">
            <v>2.9171951219512198E-2</v>
          </cell>
          <cell r="BN10">
            <v>0.19321585365853655</v>
          </cell>
          <cell r="BO10">
            <v>0</v>
          </cell>
          <cell r="BP10">
            <v>0.15969268292682925</v>
          </cell>
          <cell r="BQ10">
            <v>5.0073170731707323E-3</v>
          </cell>
          <cell r="BR10">
            <v>0</v>
          </cell>
          <cell r="BS10">
            <v>0</v>
          </cell>
          <cell r="BT10">
            <v>0</v>
          </cell>
          <cell r="BU10">
            <v>0</v>
          </cell>
          <cell r="BV10">
            <v>0.1159996913556402</v>
          </cell>
          <cell r="BW10">
            <v>0</v>
          </cell>
          <cell r="BX10">
            <v>6.2560975609756092E-4</v>
          </cell>
          <cell r="BY10">
            <v>0</v>
          </cell>
          <cell r="BZ10">
            <v>0</v>
          </cell>
          <cell r="CA10">
            <v>0</v>
          </cell>
          <cell r="CB10">
            <v>17.40759756097561</v>
          </cell>
          <cell r="CC10">
            <v>0</v>
          </cell>
          <cell r="CD10">
            <v>0</v>
          </cell>
          <cell r="CE10">
            <v>0</v>
          </cell>
          <cell r="CF10">
            <v>0</v>
          </cell>
          <cell r="CG10">
            <v>0</v>
          </cell>
          <cell r="CH10">
            <v>0</v>
          </cell>
          <cell r="CI10">
            <v>0</v>
          </cell>
          <cell r="CJ10">
            <v>0</v>
          </cell>
          <cell r="CK10">
            <v>0</v>
          </cell>
          <cell r="CL10">
            <v>2.2930487804878052E-2</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O10">
            <v>10</v>
          </cell>
        </row>
        <row r="11">
          <cell r="A11" t="str">
            <v>Average of U.S. metro areas of less than 250,000</v>
          </cell>
          <cell r="B11">
            <v>4090.7862100729085</v>
          </cell>
          <cell r="C11">
            <v>2887.9728202932224</v>
          </cell>
          <cell r="D11">
            <v>1931.0461065345492</v>
          </cell>
          <cell r="E11">
            <v>1198.7590742617851</v>
          </cell>
          <cell r="F11">
            <v>754.46797997879253</v>
          </cell>
          <cell r="G11">
            <v>541.31096774445075</v>
          </cell>
          <cell r="H11">
            <v>346.1520303080278</v>
          </cell>
          <cell r="I11">
            <v>240.47201774043992</v>
          </cell>
          <cell r="J11">
            <v>223.86890888497467</v>
          </cell>
          <cell r="K11">
            <v>296.41690616884836</v>
          </cell>
          <cell r="L11">
            <v>202.68876719641867</v>
          </cell>
          <cell r="M11">
            <v>207.16984168314164</v>
          </cell>
          <cell r="N11">
            <v>219.17726713907032</v>
          </cell>
          <cell r="O11">
            <v>259.66564937204311</v>
          </cell>
          <cell r="P11">
            <v>151.52703014358755</v>
          </cell>
          <cell r="Q11">
            <v>133.77260107364785</v>
          </cell>
          <cell r="R11">
            <v>129.39315261720697</v>
          </cell>
          <cell r="S11">
            <v>99.6796967379412</v>
          </cell>
          <cell r="T11">
            <v>116.61694130116375</v>
          </cell>
          <cell r="U11">
            <v>79.702052678286705</v>
          </cell>
          <cell r="V11">
            <v>55.459504862699511</v>
          </cell>
          <cell r="W11">
            <v>97.89074693075176</v>
          </cell>
          <cell r="X11">
            <v>89.343173746513344</v>
          </cell>
          <cell r="Y11">
            <v>90.102354647625916</v>
          </cell>
          <cell r="Z11">
            <v>88.134924442956816</v>
          </cell>
          <cell r="AA11">
            <v>66.890330147855607</v>
          </cell>
          <cell r="AB11">
            <v>59.184890282607867</v>
          </cell>
          <cell r="AC11">
            <v>13.207344792567254</v>
          </cell>
          <cell r="AD11">
            <v>19.117320989483297</v>
          </cell>
          <cell r="AE11">
            <v>23.355385371303079</v>
          </cell>
          <cell r="AF11">
            <v>30.771364414830625</v>
          </cell>
          <cell r="AG11">
            <v>0.9845560439560439</v>
          </cell>
          <cell r="AH11">
            <v>2.9946968517695542</v>
          </cell>
          <cell r="AI11">
            <v>6.3596950549450542</v>
          </cell>
          <cell r="AJ11">
            <v>8.8796946991848138</v>
          </cell>
          <cell r="AK11">
            <v>4.9417158681125404</v>
          </cell>
          <cell r="AL11">
            <v>55.15416881544116</v>
          </cell>
          <cell r="AM11">
            <v>40.944154354745621</v>
          </cell>
          <cell r="AN11">
            <v>2.6542357142857145</v>
          </cell>
          <cell r="AO11">
            <v>0.32007416518496906</v>
          </cell>
          <cell r="AP11">
            <v>3.971211731380996</v>
          </cell>
          <cell r="AQ11">
            <v>2.7131543956043949</v>
          </cell>
          <cell r="AR11">
            <v>1.3539908216683234</v>
          </cell>
          <cell r="AS11">
            <v>0.90809139099031522</v>
          </cell>
          <cell r="AT11">
            <v>4.329665226913133</v>
          </cell>
          <cell r="AU11">
            <v>1.2114725274725275</v>
          </cell>
          <cell r="AV11">
            <v>16.904629718816494</v>
          </cell>
          <cell r="AW11">
            <v>11.165982454693061</v>
          </cell>
          <cell r="AX11">
            <v>0</v>
          </cell>
          <cell r="AY11">
            <v>7.3981318681318686E-2</v>
          </cell>
          <cell r="AZ11">
            <v>2.7202494505494506</v>
          </cell>
          <cell r="BA11">
            <v>1.8492972527472529</v>
          </cell>
          <cell r="BB11">
            <v>0.19258846153846154</v>
          </cell>
          <cell r="BC11">
            <v>6.9635307379516309</v>
          </cell>
          <cell r="BD11">
            <v>3.009106647248855</v>
          </cell>
          <cell r="BE11">
            <v>0.4554785714285714</v>
          </cell>
          <cell r="BF11">
            <v>12.552683296703295</v>
          </cell>
          <cell r="BG11">
            <v>19.327664285714285</v>
          </cell>
          <cell r="BH11">
            <v>0.12110461955961489</v>
          </cell>
          <cell r="BI11">
            <v>2.5755016483516484</v>
          </cell>
          <cell r="BJ11">
            <v>0</v>
          </cell>
          <cell r="BK11">
            <v>0</v>
          </cell>
          <cell r="BL11">
            <v>0</v>
          </cell>
          <cell r="BM11">
            <v>0</v>
          </cell>
          <cell r="BN11">
            <v>0</v>
          </cell>
          <cell r="BO11">
            <v>6.378626373626374E-2</v>
          </cell>
          <cell r="BP11">
            <v>0</v>
          </cell>
          <cell r="BQ11">
            <v>0</v>
          </cell>
          <cell r="BR11">
            <v>2.2189531352362803</v>
          </cell>
          <cell r="BS11">
            <v>1.5831318681318683E-2</v>
          </cell>
          <cell r="BT11">
            <v>0</v>
          </cell>
          <cell r="BU11">
            <v>0</v>
          </cell>
          <cell r="BV11">
            <v>0</v>
          </cell>
          <cell r="BW11">
            <v>0</v>
          </cell>
          <cell r="BX11">
            <v>0</v>
          </cell>
          <cell r="BY11">
            <v>0</v>
          </cell>
          <cell r="BZ11">
            <v>0</v>
          </cell>
          <cell r="CA11">
            <v>1.0391208791208792E-2</v>
          </cell>
          <cell r="CB11">
            <v>4.6154945054945051E-2</v>
          </cell>
          <cell r="CC11">
            <v>0</v>
          </cell>
          <cell r="CD11">
            <v>0</v>
          </cell>
          <cell r="CE11">
            <v>0</v>
          </cell>
          <cell r="CF11">
            <v>7.5648351648351653E-3</v>
          </cell>
          <cell r="CG11">
            <v>0</v>
          </cell>
          <cell r="CH11">
            <v>0</v>
          </cell>
          <cell r="CI11">
            <v>0</v>
          </cell>
          <cell r="CJ11">
            <v>0</v>
          </cell>
          <cell r="CK11">
            <v>0</v>
          </cell>
          <cell r="CL11">
            <v>1.0662087912087913E-2</v>
          </cell>
          <cell r="CM11">
            <v>0</v>
          </cell>
          <cell r="CN11">
            <v>0</v>
          </cell>
          <cell r="CO11">
            <v>0</v>
          </cell>
          <cell r="CP11">
            <v>0</v>
          </cell>
          <cell r="CQ11">
            <v>0</v>
          </cell>
          <cell r="CR11">
            <v>0</v>
          </cell>
          <cell r="CS11">
            <v>0</v>
          </cell>
          <cell r="CT11">
            <v>0</v>
          </cell>
          <cell r="CU11">
            <v>2.5721428571428572E-2</v>
          </cell>
          <cell r="CV11">
            <v>1.932197802197802E-2</v>
          </cell>
          <cell r="CW11">
            <v>0</v>
          </cell>
          <cell r="CX11">
            <v>1.6231851648351647</v>
          </cell>
          <cell r="CY11">
            <v>0</v>
          </cell>
          <cell r="CZ11">
            <v>3.6906593406593404E-3</v>
          </cell>
          <cell r="DA11">
            <v>0</v>
          </cell>
          <cell r="DB11">
            <v>0</v>
          </cell>
          <cell r="DC11">
            <v>0</v>
          </cell>
          <cell r="DD11">
            <v>0</v>
          </cell>
          <cell r="DE11">
            <v>0</v>
          </cell>
          <cell r="DF11">
            <v>0</v>
          </cell>
          <cell r="DG11">
            <v>0</v>
          </cell>
          <cell r="DH11">
            <v>0</v>
          </cell>
          <cell r="DI11">
            <v>0</v>
          </cell>
          <cell r="DJ11">
            <v>0</v>
          </cell>
          <cell r="DK11">
            <v>6.7549450549450555E-3</v>
          </cell>
          <cell r="DL11">
            <v>0</v>
          </cell>
          <cell r="DO11">
            <v>11</v>
          </cell>
        </row>
        <row r="12">
          <cell r="A12" t="str">
            <v>Abilene, TX Metro Area</v>
          </cell>
          <cell r="B12">
            <v>2888.0358961000229</v>
          </cell>
          <cell r="C12">
            <v>2775.0883579320289</v>
          </cell>
          <cell r="D12">
            <v>3647.2080811283486</v>
          </cell>
          <cell r="E12">
            <v>1333.0098282190636</v>
          </cell>
          <cell r="F12">
            <v>2390.6511904475433</v>
          </cell>
          <cell r="G12">
            <v>3283.7091</v>
          </cell>
          <cell r="H12">
            <v>114.93331686641588</v>
          </cell>
          <cell r="J12">
            <v>19.096</v>
          </cell>
          <cell r="K12">
            <v>2449.6550999999999</v>
          </cell>
          <cell r="N12">
            <v>12.275600000000001</v>
          </cell>
          <cell r="P12">
            <v>304.62181861635219</v>
          </cell>
          <cell r="Q12">
            <v>16.346002335948643</v>
          </cell>
          <cell r="Y12">
            <v>218.53630000000004</v>
          </cell>
          <cell r="AD12">
            <v>7.5407999999999999</v>
          </cell>
          <cell r="AI12">
            <v>30.2193</v>
          </cell>
          <cell r="AM12">
            <v>16.0138</v>
          </cell>
          <cell r="DO12">
            <v>12</v>
          </cell>
        </row>
        <row r="13">
          <cell r="A13" t="str">
            <v>Akron, OH Metro Area</v>
          </cell>
          <cell r="B13">
            <v>5187.2894669046218</v>
          </cell>
          <cell r="C13">
            <v>6541.0584731317413</v>
          </cell>
          <cell r="D13">
            <v>4954.6502323250215</v>
          </cell>
          <cell r="E13">
            <v>3990.2743739167481</v>
          </cell>
          <cell r="F13">
            <v>3330.3034808114357</v>
          </cell>
          <cell r="G13">
            <v>2670.5998056075832</v>
          </cell>
          <cell r="H13">
            <v>1581.7159247341888</v>
          </cell>
          <cell r="I13">
            <v>1818.7289442366234</v>
          </cell>
          <cell r="J13">
            <v>1804.4698596843743</v>
          </cell>
          <cell r="K13">
            <v>1083.0623151701272</v>
          </cell>
          <cell r="L13">
            <v>4428.2629745284648</v>
          </cell>
          <cell r="M13">
            <v>552.36618519828357</v>
          </cell>
          <cell r="N13">
            <v>1090.748</v>
          </cell>
          <cell r="O13">
            <v>704.44657359882001</v>
          </cell>
          <cell r="P13">
            <v>888.26723819618417</v>
          </cell>
          <cell r="Q13">
            <v>890.90593992644517</v>
          </cell>
          <cell r="R13">
            <v>1840.9163000000001</v>
          </cell>
          <cell r="S13">
            <v>683.44617308551221</v>
          </cell>
          <cell r="T13">
            <v>2226.8711098399021</v>
          </cell>
          <cell r="U13">
            <v>438.97154098260802</v>
          </cell>
          <cell r="W13">
            <v>207.78809999999999</v>
          </cell>
          <cell r="X13">
            <v>116.83</v>
          </cell>
          <cell r="Z13">
            <v>125.81734684789859</v>
          </cell>
          <cell r="AA13">
            <v>124.88233481509153</v>
          </cell>
          <cell r="AC13">
            <v>198.5352114172448</v>
          </cell>
          <cell r="DO13">
            <v>13</v>
          </cell>
        </row>
        <row r="14">
          <cell r="A14" t="str">
            <v>Albany, GA Metro Area</v>
          </cell>
          <cell r="B14">
            <v>2316.4882845836555</v>
          </cell>
          <cell r="C14">
            <v>2276.8158490218302</v>
          </cell>
          <cell r="D14">
            <v>1814.7039734439832</v>
          </cell>
          <cell r="E14">
            <v>1837.8266902723735</v>
          </cell>
          <cell r="F14">
            <v>728.90720021916718</v>
          </cell>
          <cell r="G14">
            <v>204.219376296196</v>
          </cell>
          <cell r="H14">
            <v>807.40070000000003</v>
          </cell>
          <cell r="I14">
            <v>112.18635283749758</v>
          </cell>
          <cell r="J14">
            <v>12.191700000000001</v>
          </cell>
          <cell r="L14">
            <v>61.180999999999997</v>
          </cell>
          <cell r="O14">
            <v>25.335100000000001</v>
          </cell>
          <cell r="R14">
            <v>96.309633612600521</v>
          </cell>
          <cell r="S14">
            <v>20.851475009160865</v>
          </cell>
          <cell r="V14">
            <v>20.4803</v>
          </cell>
          <cell r="W14">
            <v>38.381700000000002</v>
          </cell>
          <cell r="X14">
            <v>98.978535874015748</v>
          </cell>
          <cell r="Z14">
            <v>27.270399999999999</v>
          </cell>
          <cell r="AA14">
            <v>13.3024</v>
          </cell>
          <cell r="AF14">
            <v>8.9238</v>
          </cell>
          <cell r="DO14">
            <v>14</v>
          </cell>
        </row>
        <row r="15">
          <cell r="A15" t="str">
            <v>Albany-Schenectady-Troy, NY Metro Area</v>
          </cell>
          <cell r="B15">
            <v>11381.398808477315</v>
          </cell>
          <cell r="C15">
            <v>7958.4367568194202</v>
          </cell>
          <cell r="D15">
            <v>3428.3269913515041</v>
          </cell>
          <cell r="E15">
            <v>2558.1002111886628</v>
          </cell>
          <cell r="F15">
            <v>2134.7745491568212</v>
          </cell>
          <cell r="G15">
            <v>3185.9011120662353</v>
          </cell>
          <cell r="H15">
            <v>3635.6386904643191</v>
          </cell>
          <cell r="I15">
            <v>3479.6393946216331</v>
          </cell>
          <cell r="J15">
            <v>1988.6865758211184</v>
          </cell>
          <cell r="K15">
            <v>1835.353823087903</v>
          </cell>
          <cell r="L15">
            <v>2507.7038620205926</v>
          </cell>
          <cell r="M15">
            <v>1759.9579304312228</v>
          </cell>
          <cell r="N15">
            <v>1793.020771468819</v>
          </cell>
          <cell r="O15">
            <v>4966.5094934050248</v>
          </cell>
          <cell r="P15">
            <v>5060.1792980481205</v>
          </cell>
          <cell r="Q15">
            <v>1881.9292428904294</v>
          </cell>
          <cell r="R15">
            <v>4115.1329360254731</v>
          </cell>
          <cell r="S15">
            <v>1520.3236068157344</v>
          </cell>
          <cell r="T15">
            <v>234.66442116136437</v>
          </cell>
          <cell r="U15">
            <v>31.810300000000002</v>
          </cell>
          <cell r="V15">
            <v>433.06189999999998</v>
          </cell>
          <cell r="W15">
            <v>437.02592157197961</v>
          </cell>
          <cell r="X15">
            <v>109.21122242288961</v>
          </cell>
          <cell r="Z15">
            <v>31.4328</v>
          </cell>
          <cell r="AA15">
            <v>3351.0236</v>
          </cell>
          <cell r="AB15">
            <v>1009.7144934107869</v>
          </cell>
          <cell r="AC15">
            <v>126.39075884918985</v>
          </cell>
          <cell r="AD15">
            <v>473.85973117474219</v>
          </cell>
          <cell r="AE15">
            <v>2343.4856055095443</v>
          </cell>
          <cell r="AF15">
            <v>3285.9551999999999</v>
          </cell>
          <cell r="AH15">
            <v>1669.338</v>
          </cell>
          <cell r="AI15">
            <v>508.71766198929271</v>
          </cell>
          <cell r="AJ15">
            <v>161.65556431694714</v>
          </cell>
          <cell r="AK15">
            <v>94.534640934730064</v>
          </cell>
          <cell r="AL15">
            <v>171.2996</v>
          </cell>
          <cell r="AM15">
            <v>5339.4775</v>
          </cell>
          <cell r="AO15">
            <v>47.399114699913021</v>
          </cell>
          <cell r="AP15">
            <v>47.780799999999999</v>
          </cell>
          <cell r="AQ15">
            <v>593.65279214564373</v>
          </cell>
          <cell r="AS15">
            <v>587.53189999999995</v>
          </cell>
          <cell r="AT15">
            <v>1494.0565484042554</v>
          </cell>
          <cell r="AV15">
            <v>49.918700000000001</v>
          </cell>
          <cell r="DO15">
            <v>15</v>
          </cell>
        </row>
        <row r="16">
          <cell r="A16" t="str">
            <v>Albuquerque, NM Metro Area</v>
          </cell>
          <cell r="B16">
            <v>4261.185487684701</v>
          </cell>
          <cell r="C16">
            <v>3767.6128231743373</v>
          </cell>
          <cell r="D16">
            <v>3948.3014314994412</v>
          </cell>
          <cell r="E16">
            <v>4573.8975434503209</v>
          </cell>
          <cell r="F16">
            <v>3812.0270114667742</v>
          </cell>
          <cell r="G16">
            <v>4925.7918878793262</v>
          </cell>
          <cell r="H16">
            <v>4180.1717828995588</v>
          </cell>
          <cell r="I16">
            <v>4217.9207709011753</v>
          </cell>
          <cell r="J16">
            <v>4597.8115849000042</v>
          </cell>
          <cell r="K16">
            <v>2774.67961073075</v>
          </cell>
          <cell r="L16">
            <v>1086.812951107092</v>
          </cell>
          <cell r="M16">
            <v>2883.233269730209</v>
          </cell>
          <cell r="N16">
            <v>607.03134999999997</v>
          </cell>
          <cell r="O16">
            <v>57.801969673913035</v>
          </cell>
          <cell r="P16">
            <v>1623.5567918280406</v>
          </cell>
          <cell r="Q16">
            <v>2541.1786000000002</v>
          </cell>
          <cell r="R16">
            <v>854.80551578770576</v>
          </cell>
          <cell r="S16">
            <v>497.44089999999994</v>
          </cell>
          <cell r="T16">
            <v>443.26380335488375</v>
          </cell>
          <cell r="U16">
            <v>136.80569658358402</v>
          </cell>
          <cell r="V16">
            <v>1017.5834511109808</v>
          </cell>
          <cell r="W16">
            <v>31.749400000000001</v>
          </cell>
          <cell r="X16">
            <v>138.2098</v>
          </cell>
          <cell r="Y16">
            <v>353.79770000000002</v>
          </cell>
          <cell r="Z16">
            <v>371.48379999999997</v>
          </cell>
          <cell r="AA16">
            <v>35.714394863082148</v>
          </cell>
          <cell r="AD16">
            <v>73.378900000000002</v>
          </cell>
          <cell r="AE16">
            <v>714.00478518693797</v>
          </cell>
          <cell r="AF16">
            <v>648.87490000000003</v>
          </cell>
          <cell r="AG16">
            <v>564.33320000000003</v>
          </cell>
          <cell r="AJ16">
            <v>103.92072021857923</v>
          </cell>
          <cell r="AK16">
            <v>48.802599999999998</v>
          </cell>
          <cell r="AL16">
            <v>10.695365082841365</v>
          </cell>
          <cell r="AO16">
            <v>3.782</v>
          </cell>
          <cell r="AQ16">
            <v>4.1077000000000004</v>
          </cell>
          <cell r="AW16">
            <v>1.0437000000000001</v>
          </cell>
          <cell r="BG16">
            <v>0</v>
          </cell>
          <cell r="BH16">
            <v>1.7743</v>
          </cell>
          <cell r="BS16">
            <v>4.3346999999999998</v>
          </cell>
          <cell r="DO16">
            <v>16</v>
          </cell>
        </row>
        <row r="17">
          <cell r="A17" t="str">
            <v>Alexandria, LA Metro Area</v>
          </cell>
          <cell r="B17">
            <v>1599.3465000000001</v>
          </cell>
          <cell r="C17">
            <v>2713.0322012051215</v>
          </cell>
          <cell r="D17">
            <v>1711.5874974932246</v>
          </cell>
          <cell r="E17">
            <v>913.58039906837689</v>
          </cell>
          <cell r="F17">
            <v>943.87300503266033</v>
          </cell>
          <cell r="H17">
            <v>215.95755633854355</v>
          </cell>
          <cell r="I17">
            <v>76.4649</v>
          </cell>
          <cell r="K17">
            <v>49.674199999999999</v>
          </cell>
          <cell r="L17">
            <v>98.203000000000003</v>
          </cell>
          <cell r="M17">
            <v>19.6708</v>
          </cell>
          <cell r="N17">
            <v>79.965299999999985</v>
          </cell>
          <cell r="Q17">
            <v>33.967303049645388</v>
          </cell>
          <cell r="T17">
            <v>22.253599999999999</v>
          </cell>
          <cell r="U17">
            <v>46.6768</v>
          </cell>
          <cell r="W17">
            <v>29.097699999999996</v>
          </cell>
          <cell r="AA17">
            <v>9.9497999999999998</v>
          </cell>
          <cell r="AB17">
            <v>19.601600000000001</v>
          </cell>
          <cell r="AG17">
            <v>24.594100000000001</v>
          </cell>
          <cell r="DO17">
            <v>17</v>
          </cell>
        </row>
        <row r="18">
          <cell r="A18" t="str">
            <v>Allentown-Bethlehem-Easton, PA-NJ Metro Area</v>
          </cell>
          <cell r="B18">
            <v>18344.497006462621</v>
          </cell>
          <cell r="C18">
            <v>7718.3230641029104</v>
          </cell>
          <cell r="D18">
            <v>2659.2887327184658</v>
          </cell>
          <cell r="E18">
            <v>3768.4862514071165</v>
          </cell>
          <cell r="F18">
            <v>6611.6895987094058</v>
          </cell>
          <cell r="G18">
            <v>3353.9416475483149</v>
          </cell>
          <cell r="H18">
            <v>2351.2064341972455</v>
          </cell>
          <cell r="I18">
            <v>1978.7274245766091</v>
          </cell>
          <cell r="J18">
            <v>1237.7158597501998</v>
          </cell>
          <cell r="K18">
            <v>981.85010508545713</v>
          </cell>
          <cell r="L18">
            <v>191.32588833992094</v>
          </cell>
          <cell r="M18">
            <v>1376.589682285146</v>
          </cell>
          <cell r="N18">
            <v>1667.9903181258721</v>
          </cell>
          <cell r="O18">
            <v>4359.1386126669386</v>
          </cell>
          <cell r="P18">
            <v>5415.20538793794</v>
          </cell>
          <cell r="Q18">
            <v>3975.3168759587365</v>
          </cell>
          <cell r="R18">
            <v>2389.0135578309578</v>
          </cell>
          <cell r="S18">
            <v>358.6942635998393</v>
          </cell>
          <cell r="T18">
            <v>312.86508430010758</v>
          </cell>
          <cell r="U18">
            <v>723.03345833423475</v>
          </cell>
          <cell r="V18">
            <v>1286.3463814740185</v>
          </cell>
          <cell r="W18">
            <v>1323.514485699319</v>
          </cell>
          <cell r="X18">
            <v>3278.7413000000006</v>
          </cell>
          <cell r="Y18">
            <v>255.39173162370801</v>
          </cell>
          <cell r="AA18">
            <v>600.61531437018459</v>
          </cell>
          <cell r="AB18">
            <v>830.66272379854138</v>
          </cell>
          <cell r="AC18">
            <v>1587.0347030159123</v>
          </cell>
          <cell r="AD18">
            <v>402.1644</v>
          </cell>
          <cell r="AG18">
            <v>115.85373994684943</v>
          </cell>
          <cell r="AH18">
            <v>20.919499999999999</v>
          </cell>
          <cell r="AJ18">
            <v>270.26400000000001</v>
          </cell>
          <cell r="AK18">
            <v>113.33110000000001</v>
          </cell>
          <cell r="AL18">
            <v>284.29000000000002</v>
          </cell>
          <cell r="AM18">
            <v>3021.2977000000001</v>
          </cell>
          <cell r="AN18">
            <v>1112.1802509037302</v>
          </cell>
          <cell r="AO18">
            <v>89.660600000000002</v>
          </cell>
          <cell r="DO18">
            <v>18</v>
          </cell>
        </row>
        <row r="19">
          <cell r="A19" t="str">
            <v>Altoona, PA Metro Area</v>
          </cell>
          <cell r="B19">
            <v>7339.4586853573137</v>
          </cell>
          <cell r="C19">
            <v>4722.6284434969648</v>
          </cell>
          <cell r="D19">
            <v>1395.3769201415353</v>
          </cell>
          <cell r="E19">
            <v>2388.1431908845866</v>
          </cell>
          <cell r="G19">
            <v>1039.1652537000807</v>
          </cell>
          <cell r="H19">
            <v>1230.4409525047938</v>
          </cell>
          <cell r="I19">
            <v>273.53878815695111</v>
          </cell>
          <cell r="L19">
            <v>58.949300000000001</v>
          </cell>
          <cell r="M19">
            <v>132.02549999999999</v>
          </cell>
          <cell r="N19">
            <v>3118.7091999999998</v>
          </cell>
          <cell r="O19">
            <v>1466.9179586662835</v>
          </cell>
          <cell r="P19">
            <v>855.86564991121111</v>
          </cell>
          <cell r="Q19">
            <v>108.46939999999999</v>
          </cell>
          <cell r="DO19">
            <v>19</v>
          </cell>
        </row>
        <row r="20">
          <cell r="A20" t="str">
            <v>Amarillo, TX Metro Area</v>
          </cell>
          <cell r="B20">
            <v>3025.0156996717169</v>
          </cell>
          <cell r="C20">
            <v>3151.792795837418</v>
          </cell>
          <cell r="D20">
            <v>3582.197772292262</v>
          </cell>
          <cell r="E20">
            <v>2914.3552016560784</v>
          </cell>
          <cell r="F20">
            <v>3944.2114088247281</v>
          </cell>
          <cell r="G20">
            <v>3746.7373800187052</v>
          </cell>
          <cell r="H20">
            <v>2929.9736587663951</v>
          </cell>
          <cell r="I20">
            <v>240.88963221300284</v>
          </cell>
          <cell r="J20">
            <v>21.987939521922218</v>
          </cell>
          <cell r="L20">
            <v>230.78960000000001</v>
          </cell>
          <cell r="N20">
            <v>26.157699999999995</v>
          </cell>
          <cell r="R20">
            <v>1520.0208579540933</v>
          </cell>
          <cell r="AA20">
            <v>7.0522999999999998</v>
          </cell>
          <cell r="AB20">
            <v>2.3650000000000002</v>
          </cell>
          <cell r="AP20">
            <v>7.0978000000000003</v>
          </cell>
          <cell r="DO20">
            <v>20</v>
          </cell>
        </row>
        <row r="21">
          <cell r="A21" t="str">
            <v>Ames, IA Metro Area</v>
          </cell>
          <cell r="B21">
            <v>1917.8852281197201</v>
          </cell>
          <cell r="C21">
            <v>5209.5846030992161</v>
          </cell>
          <cell r="D21">
            <v>1606.3990307200684</v>
          </cell>
          <cell r="E21">
            <v>2616.4160034704373</v>
          </cell>
          <cell r="J21">
            <v>197.18544863955975</v>
          </cell>
          <cell r="L21">
            <v>88.830600000000004</v>
          </cell>
          <cell r="P21">
            <v>30.206600000000002</v>
          </cell>
          <cell r="R21">
            <v>14.228199999999999</v>
          </cell>
          <cell r="DO21">
            <v>21</v>
          </cell>
        </row>
        <row r="22">
          <cell r="A22" t="str">
            <v>Anchorage, AK Metro Area</v>
          </cell>
          <cell r="B22">
            <v>4725.4311767407407</v>
          </cell>
          <cell r="C22">
            <v>4303.4660952687555</v>
          </cell>
          <cell r="D22">
            <v>4394.2781122502593</v>
          </cell>
          <cell r="E22">
            <v>5272.0570804754543</v>
          </cell>
          <cell r="F22">
            <v>4202.2321738354194</v>
          </cell>
          <cell r="G22">
            <v>4173.9749620891143</v>
          </cell>
          <cell r="H22">
            <v>4830.4351900189622</v>
          </cell>
          <cell r="I22">
            <v>1112.5415591578947</v>
          </cell>
          <cell r="J22">
            <v>1887.2736198221089</v>
          </cell>
          <cell r="K22">
            <v>959.0625</v>
          </cell>
          <cell r="L22">
            <v>103.3313</v>
          </cell>
          <cell r="O22">
            <v>1765.0675021568088</v>
          </cell>
          <cell r="Q22">
            <v>12.481</v>
          </cell>
          <cell r="S22">
            <v>68.639899999999997</v>
          </cell>
          <cell r="V22">
            <v>8.7115709893048141</v>
          </cell>
          <cell r="W22">
            <v>25.6633</v>
          </cell>
          <cell r="Y22">
            <v>82.391328920570274</v>
          </cell>
          <cell r="AB22">
            <v>67.733500000000006</v>
          </cell>
          <cell r="AC22">
            <v>98.264474946597488</v>
          </cell>
          <cell r="AD22">
            <v>176.07066358761881</v>
          </cell>
          <cell r="AE22">
            <v>836.74440000000004</v>
          </cell>
          <cell r="AF22">
            <v>610.18949999999995</v>
          </cell>
          <cell r="AG22">
            <v>318.99173644909541</v>
          </cell>
          <cell r="AH22">
            <v>324.57638550185874</v>
          </cell>
          <cell r="AI22">
            <v>152.00969999999998</v>
          </cell>
          <cell r="AJ22">
            <v>298.94189999999998</v>
          </cell>
          <cell r="AL22">
            <v>422.2009879546809</v>
          </cell>
          <cell r="AM22">
            <v>20.227984518406455</v>
          </cell>
          <cell r="AN22">
            <v>24.836199999999998</v>
          </cell>
          <cell r="BE22">
            <v>0.3821</v>
          </cell>
          <cell r="BQ22">
            <v>0.41060000000000002</v>
          </cell>
          <cell r="BX22">
            <v>5.1299999999999998E-2</v>
          </cell>
          <cell r="DO22">
            <v>22</v>
          </cell>
        </row>
        <row r="23">
          <cell r="A23" t="str">
            <v>Anderson, IN Metro Area</v>
          </cell>
          <cell r="B23">
            <v>3673.2549464943741</v>
          </cell>
          <cell r="C23">
            <v>2659.2985979696773</v>
          </cell>
          <cell r="D23">
            <v>2095.3419346583491</v>
          </cell>
          <cell r="E23">
            <v>510.28872104626549</v>
          </cell>
          <cell r="F23">
            <v>585.82193982934632</v>
          </cell>
          <cell r="G23">
            <v>139.2706</v>
          </cell>
          <cell r="H23">
            <v>212.96853565351896</v>
          </cell>
          <cell r="I23">
            <v>104.77160000000002</v>
          </cell>
          <cell r="J23">
            <v>763.99700457142865</v>
          </cell>
          <cell r="K23">
            <v>896.78651579517748</v>
          </cell>
          <cell r="L23">
            <v>737.28730225607967</v>
          </cell>
          <cell r="N23">
            <v>117.58170687232743</v>
          </cell>
          <cell r="O23">
            <v>2078.7235000000001</v>
          </cell>
          <cell r="P23">
            <v>2426.9830999999999</v>
          </cell>
          <cell r="Q23">
            <v>40.681199999999997</v>
          </cell>
          <cell r="DO23">
            <v>23</v>
          </cell>
        </row>
        <row r="24">
          <cell r="A24" t="str">
            <v>Anderson, SC Metro Area</v>
          </cell>
          <cell r="B24">
            <v>1678.6662908152853</v>
          </cell>
          <cell r="C24">
            <v>1658.9602558329295</v>
          </cell>
          <cell r="D24">
            <v>926.03498512638407</v>
          </cell>
          <cell r="E24">
            <v>1022.2656116096025</v>
          </cell>
          <cell r="F24">
            <v>363.40030949973391</v>
          </cell>
          <cell r="G24">
            <v>310.35919268414619</v>
          </cell>
          <cell r="I24">
            <v>227.11125723283644</v>
          </cell>
          <cell r="J24">
            <v>559.90790000000004</v>
          </cell>
          <cell r="K24">
            <v>152.75492409246777</v>
          </cell>
          <cell r="L24">
            <v>130.12094047217539</v>
          </cell>
          <cell r="M24">
            <v>117.6416</v>
          </cell>
          <cell r="N24">
            <v>309.61492516653033</v>
          </cell>
          <cell r="O24">
            <v>110.24339999999999</v>
          </cell>
          <cell r="P24">
            <v>257.12339435597664</v>
          </cell>
          <cell r="S24">
            <v>210.53620000000001</v>
          </cell>
          <cell r="T24">
            <v>315.44699275630637</v>
          </cell>
          <cell r="W24">
            <v>430.07109999999994</v>
          </cell>
          <cell r="DO24">
            <v>24</v>
          </cell>
        </row>
        <row r="25">
          <cell r="A25" t="str">
            <v>Ann Arbor, MI Metro Area</v>
          </cell>
          <cell r="B25">
            <v>12110.039900227364</v>
          </cell>
          <cell r="C25">
            <v>4870.2347113868245</v>
          </cell>
          <cell r="D25">
            <v>2890.5123593852968</v>
          </cell>
          <cell r="E25">
            <v>2513.4851664442863</v>
          </cell>
          <cell r="F25">
            <v>4875.5814360159038</v>
          </cell>
          <cell r="G25">
            <v>1591.2890340252443</v>
          </cell>
          <cell r="H25">
            <v>4776.1288558930837</v>
          </cell>
          <cell r="I25">
            <v>2078.7484504654112</v>
          </cell>
          <cell r="J25">
            <v>2189.3315884682224</v>
          </cell>
          <cell r="K25">
            <v>2227.5446611417865</v>
          </cell>
          <cell r="L25">
            <v>133.66833297217434</v>
          </cell>
          <cell r="M25">
            <v>415.72078391173955</v>
          </cell>
          <cell r="N25">
            <v>174.44300000000001</v>
          </cell>
          <cell r="O25">
            <v>2245.6175366148532</v>
          </cell>
          <cell r="P25">
            <v>357.46719329306393</v>
          </cell>
          <cell r="R25">
            <v>84.186199999999999</v>
          </cell>
          <cell r="T25">
            <v>98.894806696035232</v>
          </cell>
          <cell r="DO25">
            <v>25</v>
          </cell>
        </row>
        <row r="26">
          <cell r="A26" t="str">
            <v>Anniston-Oxford, AL Metro Area</v>
          </cell>
          <cell r="B26">
            <v>1642.2970264570108</v>
          </cell>
          <cell r="C26">
            <v>1571.9066696622001</v>
          </cell>
          <cell r="D26">
            <v>1092.5853999999999</v>
          </cell>
          <cell r="E26">
            <v>816.63578443190102</v>
          </cell>
          <cell r="F26">
            <v>547.91354362056086</v>
          </cell>
          <cell r="G26">
            <v>435.43810000000002</v>
          </cell>
          <cell r="H26">
            <v>0.6573</v>
          </cell>
          <cell r="I26">
            <v>254.02151455667274</v>
          </cell>
          <cell r="J26">
            <v>175.96379999999999</v>
          </cell>
          <cell r="K26">
            <v>0.37390000000000001</v>
          </cell>
          <cell r="L26">
            <v>473.90820000000002</v>
          </cell>
          <cell r="M26">
            <v>501.36430000000001</v>
          </cell>
          <cell r="N26">
            <v>326.79520000000002</v>
          </cell>
          <cell r="P26">
            <v>77.335210154093843</v>
          </cell>
          <cell r="Q26">
            <v>68.676299999999998</v>
          </cell>
          <cell r="W26">
            <v>111.43470000000002</v>
          </cell>
          <cell r="X26">
            <v>118.9277</v>
          </cell>
          <cell r="DO26">
            <v>26</v>
          </cell>
        </row>
        <row r="27">
          <cell r="A27" t="str">
            <v>Appleton, WI Metro Area</v>
          </cell>
          <cell r="B27">
            <v>5989.1761165559246</v>
          </cell>
          <cell r="C27">
            <v>4204.737801324166</v>
          </cell>
          <cell r="D27">
            <v>2889.9755465720878</v>
          </cell>
          <cell r="E27">
            <v>1644.465166871061</v>
          </cell>
          <cell r="F27">
            <v>2220.7063643079405</v>
          </cell>
          <cell r="G27">
            <v>2477.2541000000001</v>
          </cell>
          <cell r="H27">
            <v>1291.9530147931341</v>
          </cell>
          <cell r="I27">
            <v>675.08618487089336</v>
          </cell>
          <cell r="K27">
            <v>146.38669999999999</v>
          </cell>
          <cell r="M27">
            <v>83.917900000000003</v>
          </cell>
          <cell r="N27">
            <v>66.918899999999994</v>
          </cell>
          <cell r="P27">
            <v>108.75779999999999</v>
          </cell>
          <cell r="R27">
            <v>54.77775060240964</v>
          </cell>
          <cell r="S27">
            <v>98.24118318814682</v>
          </cell>
          <cell r="U27">
            <v>130.01009999999999</v>
          </cell>
          <cell r="V27">
            <v>30.664999999999999</v>
          </cell>
          <cell r="AC27">
            <v>146.5909</v>
          </cell>
          <cell r="DO27">
            <v>27</v>
          </cell>
        </row>
        <row r="28">
          <cell r="A28" t="str">
            <v>Asheville, NC Metro Area</v>
          </cell>
          <cell r="B28">
            <v>3037.9119346543926</v>
          </cell>
          <cell r="C28">
            <v>1921.8664593883686</v>
          </cell>
          <cell r="D28">
            <v>1822.7248680743169</v>
          </cell>
          <cell r="E28">
            <v>1019.8663969760462</v>
          </cell>
          <cell r="F28">
            <v>967.18602708460128</v>
          </cell>
          <cell r="G28">
            <v>435.42999675235779</v>
          </cell>
          <cell r="H28">
            <v>537.15072958997848</v>
          </cell>
          <cell r="I28">
            <v>422.59317251495298</v>
          </cell>
          <cell r="J28">
            <v>304.24122407644569</v>
          </cell>
          <cell r="K28">
            <v>520.38577055131532</v>
          </cell>
          <cell r="L28">
            <v>292.11708819262543</v>
          </cell>
          <cell r="M28">
            <v>473.85401254910767</v>
          </cell>
          <cell r="N28">
            <v>136.29717400518373</v>
          </cell>
          <cell r="O28">
            <v>132.84986354047237</v>
          </cell>
          <cell r="P28">
            <v>447.27850000000001</v>
          </cell>
          <cell r="Q28">
            <v>310.05198058025269</v>
          </cell>
          <cell r="R28">
            <v>206.8341825238582</v>
          </cell>
          <cell r="S28">
            <v>937.09503392641216</v>
          </cell>
          <cell r="T28">
            <v>367.71907650777945</v>
          </cell>
          <cell r="U28">
            <v>897.05759252733128</v>
          </cell>
          <cell r="V28">
            <v>277.51078814229248</v>
          </cell>
          <cell r="W28">
            <v>625.02096499719573</v>
          </cell>
          <cell r="X28">
            <v>431.36108990495762</v>
          </cell>
          <cell r="Y28">
            <v>227.66877328409294</v>
          </cell>
          <cell r="Z28">
            <v>210.51477210275485</v>
          </cell>
          <cell r="AA28">
            <v>394.60701777848709</v>
          </cell>
          <cell r="AB28">
            <v>524.85799608634602</v>
          </cell>
          <cell r="AC28">
            <v>150.24602890173409</v>
          </cell>
          <cell r="AD28">
            <v>153.0966</v>
          </cell>
          <cell r="AF28">
            <v>85.376499999999993</v>
          </cell>
          <cell r="AI28">
            <v>4.1799999999999997E-2</v>
          </cell>
          <cell r="DO28">
            <v>28</v>
          </cell>
        </row>
        <row r="29">
          <cell r="A29" t="str">
            <v>Athens-Clarke County, GA Metro Area</v>
          </cell>
          <cell r="B29">
            <v>4589.7128934969724</v>
          </cell>
          <cell r="C29">
            <v>3796.4279923620857</v>
          </cell>
          <cell r="D29">
            <v>1696.044503005264</v>
          </cell>
          <cell r="E29">
            <v>740.11210319459099</v>
          </cell>
          <cell r="F29">
            <v>994.32277955214113</v>
          </cell>
          <cell r="G29">
            <v>348.84166000000005</v>
          </cell>
          <cell r="H29">
            <v>265.99762633484164</v>
          </cell>
          <cell r="I29">
            <v>183.41970000000001</v>
          </cell>
          <cell r="K29">
            <v>137.29801120387296</v>
          </cell>
          <cell r="M29">
            <v>44.001751889848812</v>
          </cell>
          <cell r="Q29">
            <v>71.248435533937325</v>
          </cell>
          <cell r="S29">
            <v>57.893799999999999</v>
          </cell>
          <cell r="U29">
            <v>10.874900000000002</v>
          </cell>
          <cell r="W29">
            <v>31.773597024978955</v>
          </cell>
          <cell r="DO29">
            <v>29</v>
          </cell>
        </row>
        <row r="30">
          <cell r="A30" t="str">
            <v>Atlanta-Sandy Springs-Marietta, GA Metro Area</v>
          </cell>
          <cell r="B30">
            <v>7173.8246037430708</v>
          </cell>
          <cell r="C30">
            <v>7649.7981329634222</v>
          </cell>
          <cell r="D30">
            <v>5846.3961744094031</v>
          </cell>
          <cell r="E30">
            <v>3593.6862252139631</v>
          </cell>
          <cell r="F30">
            <v>3593.0693345215827</v>
          </cell>
          <cell r="G30">
            <v>3694.8212795075065</v>
          </cell>
          <cell r="H30">
            <v>3398.2776139537987</v>
          </cell>
          <cell r="I30">
            <v>3367.7986746238157</v>
          </cell>
          <cell r="J30">
            <v>3830.9479219843802</v>
          </cell>
          <cell r="K30">
            <v>3295.1459489005597</v>
          </cell>
          <cell r="L30">
            <v>3404.5359723289503</v>
          </cell>
          <cell r="M30">
            <v>2680.4057403189513</v>
          </cell>
          <cell r="N30">
            <v>3256.4765756127144</v>
          </cell>
          <cell r="O30">
            <v>3127.4612018662406</v>
          </cell>
          <cell r="P30">
            <v>3166.3111106780252</v>
          </cell>
          <cell r="Q30">
            <v>2518.3678521792372</v>
          </cell>
          <cell r="R30">
            <v>2364.6502573996431</v>
          </cell>
          <cell r="S30">
            <v>2063.3645065165801</v>
          </cell>
          <cell r="T30">
            <v>1995.537760258934</v>
          </cell>
          <cell r="U30">
            <v>2292.3260132979544</v>
          </cell>
          <cell r="V30">
            <v>1625.0066124820919</v>
          </cell>
          <cell r="W30">
            <v>2225.5865643867878</v>
          </cell>
          <cell r="X30">
            <v>1511.9252179751616</v>
          </cell>
          <cell r="Y30">
            <v>1567.6345643757854</v>
          </cell>
          <cell r="Z30">
            <v>1426.968088841078</v>
          </cell>
          <cell r="AA30">
            <v>1630.7858329411765</v>
          </cell>
          <cell r="AB30">
            <v>1341.5102678964515</v>
          </cell>
          <cell r="AC30">
            <v>1050.6255412797734</v>
          </cell>
          <cell r="AD30">
            <v>701.7916376160257</v>
          </cell>
          <cell r="AE30">
            <v>792.97284288238393</v>
          </cell>
          <cell r="AF30">
            <v>681.73317116525379</v>
          </cell>
          <cell r="AG30">
            <v>388.72201894709968</v>
          </cell>
          <cell r="AH30">
            <v>410.40471001397356</v>
          </cell>
          <cell r="AI30">
            <v>502.31916272469692</v>
          </cell>
          <cell r="AJ30">
            <v>612.66369310730181</v>
          </cell>
          <cell r="AK30">
            <v>437.91078058235746</v>
          </cell>
          <cell r="AL30">
            <v>492.67551441983284</v>
          </cell>
          <cell r="AM30">
            <v>424.37925528362689</v>
          </cell>
          <cell r="AN30">
            <v>236.32123870736149</v>
          </cell>
          <cell r="AO30">
            <v>242.48758615252828</v>
          </cell>
          <cell r="AP30">
            <v>296.63095775064318</v>
          </cell>
          <cell r="AQ30">
            <v>985.63646147523093</v>
          </cell>
          <cell r="AR30">
            <v>306.30242576290289</v>
          </cell>
          <cell r="AS30">
            <v>198.80184911823022</v>
          </cell>
          <cell r="AT30">
            <v>112.82927251531318</v>
          </cell>
          <cell r="AU30">
            <v>116.90339135400423</v>
          </cell>
          <cell r="AV30">
            <v>98.445747654272921</v>
          </cell>
          <cell r="AW30">
            <v>63.771913198301213</v>
          </cell>
          <cell r="AX30">
            <v>124.22295000231769</v>
          </cell>
          <cell r="AY30">
            <v>87.796821124660056</v>
          </cell>
          <cell r="AZ30">
            <v>125.72823208546933</v>
          </cell>
          <cell r="BA30">
            <v>81.436174421109314</v>
          </cell>
          <cell r="BB30">
            <v>80.123400000000004</v>
          </cell>
          <cell r="BC30">
            <v>37.905000000000001</v>
          </cell>
          <cell r="BG30">
            <v>23.874400000000001</v>
          </cell>
          <cell r="BK30">
            <v>37.692399999999999</v>
          </cell>
          <cell r="BL30">
            <v>106.009</v>
          </cell>
          <cell r="DO30">
            <v>30</v>
          </cell>
        </row>
        <row r="31">
          <cell r="A31" t="str">
            <v>Atlantic City-Hammonton, NJ Metro Area</v>
          </cell>
          <cell r="B31">
            <v>10268.140635331742</v>
          </cell>
          <cell r="C31">
            <v>15398.2065397485</v>
          </cell>
          <cell r="D31">
            <v>7690.9786222959683</v>
          </cell>
          <cell r="E31">
            <v>6862.234547609216</v>
          </cell>
          <cell r="F31">
            <v>3550.6305034665379</v>
          </cell>
          <cell r="G31">
            <v>3712.7056480664446</v>
          </cell>
          <cell r="H31">
            <v>2179.6862699429325</v>
          </cell>
          <cell r="I31">
            <v>1570.2534783861365</v>
          </cell>
          <cell r="J31">
            <v>1716.1702967146432</v>
          </cell>
          <cell r="K31">
            <v>1902.9888082020918</v>
          </cell>
          <cell r="L31">
            <v>756.91414115934128</v>
          </cell>
          <cell r="M31">
            <v>514.28150000000005</v>
          </cell>
          <cell r="O31">
            <v>291.70245638095241</v>
          </cell>
          <cell r="R31">
            <v>412.36079999999998</v>
          </cell>
          <cell r="S31">
            <v>101.3841</v>
          </cell>
          <cell r="U31">
            <v>58.9529</v>
          </cell>
          <cell r="V31">
            <v>126.18478445336008</v>
          </cell>
          <cell r="AB31">
            <v>254.65018099971996</v>
          </cell>
          <cell r="AC31">
            <v>181.20140000000001</v>
          </cell>
          <cell r="AD31">
            <v>461.84881398912512</v>
          </cell>
          <cell r="AE31">
            <v>514.13840000000005</v>
          </cell>
          <cell r="DO31">
            <v>31</v>
          </cell>
        </row>
        <row r="32">
          <cell r="A32" t="str">
            <v>Auburn-Opelika, AL Metro Area</v>
          </cell>
          <cell r="B32">
            <v>3924.7812740564395</v>
          </cell>
          <cell r="C32">
            <v>1340.0294470691229</v>
          </cell>
          <cell r="D32">
            <v>470.74761482035933</v>
          </cell>
          <cell r="E32">
            <v>398.32038481085766</v>
          </cell>
          <cell r="F32">
            <v>25.766400000000001</v>
          </cell>
          <cell r="G32">
            <v>2079.25045429591</v>
          </cell>
          <cell r="I32">
            <v>314.26257257900102</v>
          </cell>
          <cell r="J32">
            <v>51.2286</v>
          </cell>
          <cell r="N32">
            <v>88.456900000000005</v>
          </cell>
          <cell r="R32">
            <v>78.799499999999995</v>
          </cell>
          <cell r="U32">
            <v>65.133099999999999</v>
          </cell>
          <cell r="W32">
            <v>337.50749999999999</v>
          </cell>
          <cell r="X32">
            <v>682.62580000000003</v>
          </cell>
          <cell r="Y32">
            <v>516.18100000000004</v>
          </cell>
          <cell r="Z32">
            <v>1011.7463</v>
          </cell>
          <cell r="AB32">
            <v>421.5736</v>
          </cell>
          <cell r="DO32">
            <v>32</v>
          </cell>
        </row>
        <row r="33">
          <cell r="A33" t="str">
            <v>Augusta-Richmond County, GA-SC Metro Area</v>
          </cell>
          <cell r="B33">
            <v>2728.3676317314021</v>
          </cell>
          <cell r="C33">
            <v>2125.4849760568582</v>
          </cell>
          <cell r="D33">
            <v>3402.1589304012145</v>
          </cell>
          <cell r="E33">
            <v>1961.6485748037924</v>
          </cell>
          <cell r="F33">
            <v>2155.6350157496872</v>
          </cell>
          <cell r="G33">
            <v>2290.5574951095969</v>
          </cell>
          <cell r="H33">
            <v>1339.3144108253589</v>
          </cell>
          <cell r="I33">
            <v>1269.5183200567903</v>
          </cell>
          <cell r="J33">
            <v>1565.3659801387046</v>
          </cell>
          <cell r="K33">
            <v>1474.2222732858297</v>
          </cell>
          <cell r="L33">
            <v>800.33968303249094</v>
          </cell>
          <cell r="M33">
            <v>998.68580351355877</v>
          </cell>
          <cell r="N33">
            <v>447.92028619191149</v>
          </cell>
          <cell r="O33">
            <v>463.91472128255691</v>
          </cell>
          <cell r="P33">
            <v>113.49220000000001</v>
          </cell>
          <cell r="Q33">
            <v>854.56855241238657</v>
          </cell>
          <cell r="R33">
            <v>59.161243355546837</v>
          </cell>
          <cell r="S33">
            <v>91.085499999999996</v>
          </cell>
          <cell r="T33">
            <v>168.84546199838948</v>
          </cell>
          <cell r="U33">
            <v>4.3999999999999997E-2</v>
          </cell>
          <cell r="V33">
            <v>29.594445081967212</v>
          </cell>
          <cell r="W33">
            <v>74.095955690562988</v>
          </cell>
          <cell r="X33">
            <v>41.472162840809148</v>
          </cell>
          <cell r="Z33">
            <v>44.619399999999999</v>
          </cell>
          <cell r="AA33">
            <v>59.183202348680808</v>
          </cell>
          <cell r="AD33">
            <v>35.439399999999999</v>
          </cell>
          <cell r="AE33">
            <v>277.97930000000002</v>
          </cell>
          <cell r="AF33">
            <v>28.883895676159238</v>
          </cell>
          <cell r="AG33">
            <v>124.5334</v>
          </cell>
          <cell r="AH33">
            <v>167.54079999999999</v>
          </cell>
          <cell r="AJ33">
            <v>31.295302965316392</v>
          </cell>
          <cell r="AM33">
            <v>29.456199999999999</v>
          </cell>
          <cell r="AN33">
            <v>12.0876</v>
          </cell>
          <cell r="DO33">
            <v>33</v>
          </cell>
        </row>
        <row r="34">
          <cell r="A34" t="str">
            <v>Austin-Round Rock-San Marcos, TX Metro Area</v>
          </cell>
          <cell r="B34">
            <v>2532.0972000000002</v>
          </cell>
          <cell r="C34">
            <v>8623.9826444504215</v>
          </cell>
          <cell r="D34">
            <v>6909.6045702088468</v>
          </cell>
          <cell r="E34">
            <v>4534.4517162040347</v>
          </cell>
          <cell r="F34">
            <v>4221.6028046038427</v>
          </cell>
          <cell r="G34">
            <v>4893.2771177346631</v>
          </cell>
          <cell r="H34">
            <v>4596.6756414343417</v>
          </cell>
          <cell r="I34">
            <v>4718.2493653331885</v>
          </cell>
          <cell r="J34">
            <v>2729.7276061569387</v>
          </cell>
          <cell r="K34">
            <v>2831.4747016405845</v>
          </cell>
          <cell r="L34">
            <v>2299.021506629017</v>
          </cell>
          <cell r="M34">
            <v>2486.4943698497464</v>
          </cell>
          <cell r="N34">
            <v>3200.2579788610042</v>
          </cell>
          <cell r="O34">
            <v>2063.317693670745</v>
          </cell>
          <cell r="P34">
            <v>1384.906087042669</v>
          </cell>
          <cell r="Q34">
            <v>1609.4421823033531</v>
          </cell>
          <cell r="R34">
            <v>1714.7398730918569</v>
          </cell>
          <cell r="S34">
            <v>1993.9306894567442</v>
          </cell>
          <cell r="T34">
            <v>2864.9488795695602</v>
          </cell>
          <cell r="U34">
            <v>894.23028758791645</v>
          </cell>
          <cell r="V34">
            <v>731.63733848817776</v>
          </cell>
          <cell r="W34">
            <v>62.531152690501997</v>
          </cell>
          <cell r="X34">
            <v>264.07247619349118</v>
          </cell>
          <cell r="Y34">
            <v>69.248658814041761</v>
          </cell>
          <cell r="Z34">
            <v>97.454912494106551</v>
          </cell>
          <cell r="AA34">
            <v>1121.143918638501</v>
          </cell>
          <cell r="AB34">
            <v>288.03517352485562</v>
          </cell>
          <cell r="AC34">
            <v>825.5986336894133</v>
          </cell>
          <cell r="AD34">
            <v>2008.468788878823</v>
          </cell>
          <cell r="AE34">
            <v>1026.4644088455477</v>
          </cell>
          <cell r="AF34">
            <v>223.06008607397288</v>
          </cell>
          <cell r="AG34">
            <v>258.3747152857776</v>
          </cell>
          <cell r="AH34">
            <v>34.835317958302184</v>
          </cell>
          <cell r="AJ34">
            <v>47.639400000000002</v>
          </cell>
          <cell r="AL34">
            <v>18.263300000000001</v>
          </cell>
          <cell r="AM34">
            <v>31.385501503319016</v>
          </cell>
          <cell r="AN34">
            <v>35.693100000000001</v>
          </cell>
          <cell r="AO34">
            <v>427.5342</v>
          </cell>
          <cell r="AP34">
            <v>342.29098845500852</v>
          </cell>
          <cell r="DO34">
            <v>34</v>
          </cell>
        </row>
        <row r="35">
          <cell r="A35" t="str">
            <v>Bakersfield-Delano, CA Metro Area</v>
          </cell>
          <cell r="B35">
            <v>5168.8767060749324</v>
          </cell>
          <cell r="C35">
            <v>4931.1217274255605</v>
          </cell>
          <cell r="D35">
            <v>6743.5293332328856</v>
          </cell>
          <cell r="E35">
            <v>5101.9375254547285</v>
          </cell>
          <cell r="F35">
            <v>5278.5293012246402</v>
          </cell>
          <cell r="G35">
            <v>3785.1922346022484</v>
          </cell>
          <cell r="H35">
            <v>1718.6549636921829</v>
          </cell>
          <cell r="I35">
            <v>2454.8820546318871</v>
          </cell>
          <cell r="J35">
            <v>290.40056454714943</v>
          </cell>
          <cell r="K35">
            <v>3495.457897381144</v>
          </cell>
          <cell r="L35">
            <v>676.86125047841801</v>
          </cell>
          <cell r="M35">
            <v>36.776299999999999</v>
          </cell>
          <cell r="Q35">
            <v>2229.8850650750492</v>
          </cell>
          <cell r="R35">
            <v>3720.9726522185701</v>
          </cell>
          <cell r="S35">
            <v>373.09679999999997</v>
          </cell>
          <cell r="T35">
            <v>18.105499999999999</v>
          </cell>
          <cell r="V35">
            <v>16.412199999999999</v>
          </cell>
          <cell r="Y35">
            <v>4699.497814424195</v>
          </cell>
          <cell r="Z35">
            <v>1670.9307203709184</v>
          </cell>
          <cell r="AA35">
            <v>8.9047999999999998</v>
          </cell>
          <cell r="AB35">
            <v>2302.497905398975</v>
          </cell>
          <cell r="AD35">
            <v>990.34379999999999</v>
          </cell>
          <cell r="AE35">
            <v>3392.3191373760587</v>
          </cell>
          <cell r="AF35">
            <v>3826.348313886338</v>
          </cell>
          <cell r="AG35">
            <v>6209.8222270211281</v>
          </cell>
          <cell r="AH35">
            <v>2770.0489978523347</v>
          </cell>
          <cell r="AI35">
            <v>68.784334814644254</v>
          </cell>
          <cell r="AJ35">
            <v>1524.2484999999999</v>
          </cell>
          <cell r="AL35">
            <v>668.31467184009409</v>
          </cell>
          <cell r="AM35">
            <v>2.5522999999999998</v>
          </cell>
          <cell r="AN35">
            <v>211.9409</v>
          </cell>
          <cell r="AO35">
            <v>5.0975041910870287</v>
          </cell>
          <cell r="AQ35">
            <v>12.007300000000001</v>
          </cell>
          <cell r="BB35">
            <v>173.85939999999999</v>
          </cell>
          <cell r="BF35">
            <v>31.3935</v>
          </cell>
          <cell r="BI35">
            <v>940.91480000000001</v>
          </cell>
          <cell r="BJ35">
            <v>1187.0435</v>
          </cell>
          <cell r="BK35">
            <v>45.468200000000003</v>
          </cell>
          <cell r="BL35">
            <v>834.82389999999998</v>
          </cell>
          <cell r="BO35">
            <v>3.2973999999999997</v>
          </cell>
          <cell r="BR35">
            <v>19.550699999999999</v>
          </cell>
          <cell r="BW35">
            <v>20.5199</v>
          </cell>
          <cell r="BZ35">
            <v>1720.3498</v>
          </cell>
          <cell r="CA35">
            <v>2579.3485894671267</v>
          </cell>
          <cell r="CB35">
            <v>1617.2665</v>
          </cell>
          <cell r="CC35">
            <v>17.014399999999998</v>
          </cell>
          <cell r="CD35">
            <v>90.540599999999998</v>
          </cell>
          <cell r="DO35">
            <v>35</v>
          </cell>
        </row>
        <row r="36">
          <cell r="A36" t="str">
            <v>Baltimore-Towson, MD Metro Area</v>
          </cell>
          <cell r="B36">
            <v>31370.591880483906</v>
          </cell>
          <cell r="C36">
            <v>19069.343266643024</v>
          </cell>
          <cell r="D36">
            <v>15920.369228819498</v>
          </cell>
          <cell r="E36">
            <v>10443.874454446221</v>
          </cell>
          <cell r="F36">
            <v>9195.6975779831937</v>
          </cell>
          <cell r="G36">
            <v>7143.5868009552323</v>
          </cell>
          <cell r="H36">
            <v>6272.0446811241909</v>
          </cell>
          <cell r="I36">
            <v>4936.7422064194789</v>
          </cell>
          <cell r="J36">
            <v>5196.7548889200034</v>
          </cell>
          <cell r="K36">
            <v>4074.1252605763407</v>
          </cell>
          <cell r="L36">
            <v>3602.6562016859125</v>
          </cell>
          <cell r="M36">
            <v>3279.9975309903034</v>
          </cell>
          <cell r="N36">
            <v>2919.7761858048248</v>
          </cell>
          <cell r="O36">
            <v>2869.7836186415357</v>
          </cell>
          <cell r="P36">
            <v>2511.2064675232573</v>
          </cell>
          <cell r="Q36">
            <v>2647.4454833333334</v>
          </cell>
          <cell r="R36">
            <v>2637.8601860422455</v>
          </cell>
          <cell r="S36">
            <v>1425.8512169259454</v>
          </cell>
          <cell r="T36">
            <v>2526.6975451907565</v>
          </cell>
          <cell r="U36">
            <v>2117.9887599134931</v>
          </cell>
          <cell r="V36">
            <v>2568.3405317917141</v>
          </cell>
          <cell r="W36">
            <v>1641.5928684978073</v>
          </cell>
          <cell r="X36">
            <v>2024.1399357669054</v>
          </cell>
          <cell r="Y36">
            <v>4066.4868172897191</v>
          </cell>
          <cell r="Z36">
            <v>1596.3993600907261</v>
          </cell>
          <cell r="AA36">
            <v>758.26366398601397</v>
          </cell>
          <cell r="AB36">
            <v>434.18712649339454</v>
          </cell>
          <cell r="AC36">
            <v>1044.7333115153504</v>
          </cell>
          <cell r="AD36">
            <v>432.63642679433343</v>
          </cell>
          <cell r="AE36">
            <v>993.8732476431851</v>
          </cell>
          <cell r="AF36">
            <v>199.92034338428695</v>
          </cell>
          <cell r="AG36">
            <v>337.07248313974594</v>
          </cell>
          <cell r="AH36">
            <v>1901.3843203392735</v>
          </cell>
          <cell r="AI36">
            <v>129.20403177295341</v>
          </cell>
          <cell r="AJ36">
            <v>462.39791256288731</v>
          </cell>
          <cell r="AK36">
            <v>155.1072532988357</v>
          </cell>
          <cell r="AM36">
            <v>115.86511641284102</v>
          </cell>
          <cell r="AN36">
            <v>424.58870000000002</v>
          </cell>
          <cell r="AO36">
            <v>125.06852100238665</v>
          </cell>
          <cell r="AR36">
            <v>34.692300000000003</v>
          </cell>
          <cell r="DO36">
            <v>36</v>
          </cell>
        </row>
        <row r="37">
          <cell r="A37" t="str">
            <v>Bangor, ME Metro Area</v>
          </cell>
          <cell r="B37">
            <v>5513.0374389020117</v>
          </cell>
          <cell r="C37">
            <v>1156.9156531885631</v>
          </cell>
          <cell r="D37">
            <v>585.2804443843595</v>
          </cell>
          <cell r="E37">
            <v>591.59500000000003</v>
          </cell>
          <cell r="G37">
            <v>140.8109</v>
          </cell>
          <cell r="H37">
            <v>126.7605627522809</v>
          </cell>
          <cell r="I37">
            <v>474.29846835838669</v>
          </cell>
          <cell r="J37">
            <v>1585.3728882475516</v>
          </cell>
          <cell r="K37">
            <v>82.216999999999999</v>
          </cell>
          <cell r="L37">
            <v>919.24099999999999</v>
          </cell>
          <cell r="M37">
            <v>55.143430673862312</v>
          </cell>
          <cell r="N37">
            <v>58.370273949579833</v>
          </cell>
          <cell r="S37">
            <v>33.013050174825167</v>
          </cell>
          <cell r="T37">
            <v>48.389699999999998</v>
          </cell>
          <cell r="U37">
            <v>12.461399999999999</v>
          </cell>
          <cell r="V37">
            <v>35.097200000000001</v>
          </cell>
          <cell r="W37">
            <v>27.790099999999999</v>
          </cell>
          <cell r="X37">
            <v>26.012599999999999</v>
          </cell>
          <cell r="Y37">
            <v>102.0975</v>
          </cell>
          <cell r="AA37">
            <v>55.458100000000002</v>
          </cell>
          <cell r="AE37">
            <v>111.8537</v>
          </cell>
          <cell r="AG37">
            <v>15.788500000000001</v>
          </cell>
          <cell r="AH37">
            <v>58.266599999999997</v>
          </cell>
          <cell r="AN37">
            <v>6.6870000000000003</v>
          </cell>
          <cell r="AP37">
            <v>76.812399999999997</v>
          </cell>
          <cell r="BC37">
            <v>17.870999999999999</v>
          </cell>
          <cell r="BD37">
            <v>6.0529999999999999</v>
          </cell>
          <cell r="BG37">
            <v>262.78300000000002</v>
          </cell>
          <cell r="BI37">
            <v>468.74130000000002</v>
          </cell>
          <cell r="CA37">
            <v>1.8912</v>
          </cell>
          <cell r="DO37">
            <v>37</v>
          </cell>
        </row>
        <row r="38">
          <cell r="A38" t="str">
            <v>Barnstable Town, MA Metro Area</v>
          </cell>
          <cell r="B38">
            <v>2293.0084957891272</v>
          </cell>
          <cell r="C38">
            <v>1424.4218453731819</v>
          </cell>
          <cell r="D38">
            <v>1175.9127860900451</v>
          </cell>
          <cell r="E38">
            <v>1318.5934</v>
          </cell>
          <cell r="F38">
            <v>1122.7803640066497</v>
          </cell>
          <cell r="G38">
            <v>624.78770904318378</v>
          </cell>
          <cell r="H38">
            <v>712.8236664015426</v>
          </cell>
          <cell r="I38">
            <v>949.83626880589657</v>
          </cell>
          <cell r="J38">
            <v>641.91249038595674</v>
          </cell>
          <cell r="K38">
            <v>704.07707096892511</v>
          </cell>
          <cell r="L38">
            <v>541.84320000000002</v>
          </cell>
          <cell r="M38">
            <v>631.75801733770743</v>
          </cell>
          <cell r="O38">
            <v>721.73698867489577</v>
          </cell>
          <cell r="P38">
            <v>378.90230977425551</v>
          </cell>
          <cell r="Q38">
            <v>651.02349780580505</v>
          </cell>
          <cell r="R38">
            <v>783.09831893631281</v>
          </cell>
          <cell r="S38">
            <v>690.55280981684984</v>
          </cell>
          <cell r="T38">
            <v>993.08060389133641</v>
          </cell>
          <cell r="U38">
            <v>549.85047614123209</v>
          </cell>
          <cell r="V38">
            <v>400.28749999999997</v>
          </cell>
          <cell r="Y38">
            <v>138.83949999999999</v>
          </cell>
          <cell r="AC38">
            <v>99.257999999999996</v>
          </cell>
          <cell r="AD38">
            <v>354.77039999999994</v>
          </cell>
          <cell r="DO38">
            <v>38</v>
          </cell>
        </row>
        <row r="39">
          <cell r="A39" t="str">
            <v>Baton Rouge, LA Metro Area</v>
          </cell>
          <cell r="B39">
            <v>3426.4516004329002</v>
          </cell>
          <cell r="C39">
            <v>4432.0237370410605</v>
          </cell>
          <cell r="D39">
            <v>4610.1728721117242</v>
          </cell>
          <cell r="E39">
            <v>2601.1996305682287</v>
          </cell>
          <cell r="F39">
            <v>3026.2316709061133</v>
          </cell>
          <cell r="G39">
            <v>1640.3465873976036</v>
          </cell>
          <cell r="H39">
            <v>2468.9996052877259</v>
          </cell>
          <cell r="I39">
            <v>2473.6143531231833</v>
          </cell>
          <cell r="J39">
            <v>3253.5665933507262</v>
          </cell>
          <cell r="K39">
            <v>1762.5244090221513</v>
          </cell>
          <cell r="L39">
            <v>864.16236364324288</v>
          </cell>
          <cell r="M39">
            <v>878.79065809850465</v>
          </cell>
          <cell r="N39">
            <v>1747.2759261746332</v>
          </cell>
          <cell r="O39">
            <v>399.12374234238484</v>
          </cell>
          <cell r="P39">
            <v>897.22265319126609</v>
          </cell>
          <cell r="Q39">
            <v>546.52488616328094</v>
          </cell>
          <cell r="R39">
            <v>206.55489999999998</v>
          </cell>
          <cell r="S39">
            <v>824.15084054395948</v>
          </cell>
          <cell r="T39">
            <v>199.71682742207</v>
          </cell>
          <cell r="U39">
            <v>370.00260590607587</v>
          </cell>
          <cell r="V39">
            <v>477.41051961174372</v>
          </cell>
          <cell r="W39">
            <v>788.81674045341265</v>
          </cell>
          <cell r="X39">
            <v>79.226007605869242</v>
          </cell>
          <cell r="Y39">
            <v>261.75463742820085</v>
          </cell>
          <cell r="Z39">
            <v>93.836137594969884</v>
          </cell>
          <cell r="AA39">
            <v>95.771265411197774</v>
          </cell>
          <cell r="AB39">
            <v>61.275500000000001</v>
          </cell>
          <cell r="AC39">
            <v>318.75413860741583</v>
          </cell>
          <cell r="AD39">
            <v>55.547720269564302</v>
          </cell>
          <cell r="AH39">
            <v>38.346600000000002</v>
          </cell>
          <cell r="AJ39">
            <v>25.1174</v>
          </cell>
          <cell r="AK39">
            <v>74.438732554596243</v>
          </cell>
          <cell r="AN39">
            <v>13.204800000000001</v>
          </cell>
          <cell r="AR39">
            <v>61.399253972517819</v>
          </cell>
          <cell r="AS39">
            <v>10.1892</v>
          </cell>
          <cell r="DO39">
            <v>39</v>
          </cell>
        </row>
        <row r="40">
          <cell r="A40" t="str">
            <v>Battle Creek, MI Metro Area</v>
          </cell>
          <cell r="B40">
            <v>5811.7085019840797</v>
          </cell>
          <cell r="C40">
            <v>2626.1369281383099</v>
          </cell>
          <cell r="D40">
            <v>1454.3885921240394</v>
          </cell>
          <cell r="E40">
            <v>807.76378578767128</v>
          </cell>
          <cell r="F40">
            <v>746.75082258064504</v>
          </cell>
          <cell r="G40">
            <v>144.33760000000001</v>
          </cell>
          <cell r="H40">
            <v>223.83179999999999</v>
          </cell>
          <cell r="I40">
            <v>79.278700000000001</v>
          </cell>
          <cell r="M40">
            <v>434.28262466070328</v>
          </cell>
          <cell r="P40">
            <v>57.160447505726644</v>
          </cell>
          <cell r="Q40">
            <v>47.380899999999997</v>
          </cell>
          <cell r="T40">
            <v>31.049900000000001</v>
          </cell>
          <cell r="W40">
            <v>455.41517918074891</v>
          </cell>
          <cell r="X40">
            <v>1029.832191464126</v>
          </cell>
          <cell r="Y40">
            <v>82.060100000000006</v>
          </cell>
          <cell r="DO40">
            <v>40</v>
          </cell>
        </row>
        <row r="41">
          <cell r="A41" t="str">
            <v>Bay City, MI Metro Area</v>
          </cell>
          <cell r="B41">
            <v>6607.7079702345027</v>
          </cell>
          <cell r="C41">
            <v>3525.2957676104047</v>
          </cell>
          <cell r="D41">
            <v>1618.3423472297002</v>
          </cell>
          <cell r="E41">
            <v>558.85452744860947</v>
          </cell>
          <cell r="F41">
            <v>376.17897702678624</v>
          </cell>
          <cell r="G41">
            <v>120.26789999999998</v>
          </cell>
          <cell r="K41">
            <v>118.06910000000001</v>
          </cell>
          <cell r="L41">
            <v>191.92509999999999</v>
          </cell>
          <cell r="P41">
            <v>75.472499999999997</v>
          </cell>
          <cell r="U41">
            <v>105.3664</v>
          </cell>
          <cell r="Z41">
            <v>37.731000000000002</v>
          </cell>
          <cell r="DO41">
            <v>41</v>
          </cell>
        </row>
        <row r="42">
          <cell r="A42" t="str">
            <v>Beaumont-Port Arthur, TX Metro Area</v>
          </cell>
          <cell r="B42">
            <v>1030.2389000000001</v>
          </cell>
          <cell r="C42">
            <v>3694.4296314312032</v>
          </cell>
          <cell r="D42">
            <v>2706.3611737668757</v>
          </cell>
          <cell r="E42">
            <v>3302.9493073398921</v>
          </cell>
          <cell r="F42">
            <v>1759.7164339474893</v>
          </cell>
          <cell r="G42">
            <v>2390.3755966587446</v>
          </cell>
          <cell r="H42">
            <v>1325.4275058876647</v>
          </cell>
          <cell r="I42">
            <v>758.89140889916848</v>
          </cell>
          <cell r="J42">
            <v>163.39140536796106</v>
          </cell>
          <cell r="K42">
            <v>3070.1459504813729</v>
          </cell>
          <cell r="L42">
            <v>1995.8847736360519</v>
          </cell>
          <cell r="M42">
            <v>1933.3998817665063</v>
          </cell>
          <cell r="N42">
            <v>496.62022391336819</v>
          </cell>
          <cell r="O42">
            <v>1610.6703575987842</v>
          </cell>
          <cell r="P42">
            <v>1829.7194769125933</v>
          </cell>
          <cell r="Q42">
            <v>1891.7925041407411</v>
          </cell>
          <cell r="R42">
            <v>3402.673284780898</v>
          </cell>
          <cell r="S42">
            <v>374.57946415902143</v>
          </cell>
          <cell r="T42">
            <v>97.372190706206041</v>
          </cell>
          <cell r="U42">
            <v>446.33723603648252</v>
          </cell>
          <cell r="V42">
            <v>725.60716299968999</v>
          </cell>
          <cell r="W42">
            <v>964.20196307606886</v>
          </cell>
          <cell r="X42">
            <v>332.64968971947457</v>
          </cell>
          <cell r="Z42">
            <v>230.02050000000003</v>
          </cell>
          <cell r="AA42">
            <v>44.753999999999998</v>
          </cell>
          <cell r="AI42">
            <v>10.8269</v>
          </cell>
          <cell r="DO42">
            <v>42</v>
          </cell>
        </row>
        <row r="43">
          <cell r="A43" t="str">
            <v>Bellingham, WA Metro Area</v>
          </cell>
          <cell r="B43">
            <v>4333.9956525474445</v>
          </cell>
          <cell r="C43">
            <v>5136.2723296155928</v>
          </cell>
          <cell r="D43">
            <v>3000.3072835252915</v>
          </cell>
          <cell r="E43">
            <v>553.97645853025415</v>
          </cell>
          <cell r="F43">
            <v>151.56389999999999</v>
          </cell>
          <cell r="I43">
            <v>224.7467432570202</v>
          </cell>
          <cell r="J43">
            <v>186.13068285024156</v>
          </cell>
          <cell r="K43">
            <v>737.3638185385272</v>
          </cell>
          <cell r="L43">
            <v>170.35783088965667</v>
          </cell>
          <cell r="O43">
            <v>792.61448406124748</v>
          </cell>
          <cell r="P43">
            <v>315.74635389117174</v>
          </cell>
          <cell r="Q43">
            <v>102.3813</v>
          </cell>
          <cell r="S43">
            <v>3.9136000000000002</v>
          </cell>
          <cell r="T43">
            <v>292.21121786240059</v>
          </cell>
          <cell r="AF43">
            <v>268.36959999999999</v>
          </cell>
          <cell r="DO43">
            <v>43</v>
          </cell>
        </row>
        <row r="44">
          <cell r="A44" t="str">
            <v>Bend, OR Metro Area</v>
          </cell>
          <cell r="B44">
            <v>2849.3393000000001</v>
          </cell>
          <cell r="C44">
            <v>1834.5432845372568</v>
          </cell>
          <cell r="D44">
            <v>1840.3963188026275</v>
          </cell>
          <cell r="E44">
            <v>287.01510000000002</v>
          </cell>
          <cell r="G44">
            <v>76.691176342014899</v>
          </cell>
          <cell r="J44">
            <v>1.3219000000000003</v>
          </cell>
          <cell r="K44">
            <v>65.590999999999994</v>
          </cell>
          <cell r="N44">
            <v>31.045699999999997</v>
          </cell>
          <cell r="P44">
            <v>138.8323</v>
          </cell>
          <cell r="Q44">
            <v>504.24645128583637</v>
          </cell>
          <cell r="S44">
            <v>1134.9021</v>
          </cell>
          <cell r="U44">
            <v>99.286299999999997</v>
          </cell>
          <cell r="V44">
            <v>5.8849</v>
          </cell>
          <cell r="X44">
            <v>104.7867</v>
          </cell>
          <cell r="AC44">
            <v>10.8414</v>
          </cell>
          <cell r="DO44">
            <v>44</v>
          </cell>
        </row>
        <row r="45">
          <cell r="A45" t="str">
            <v>Billings, MT Metro Area</v>
          </cell>
          <cell r="B45">
            <v>3376.5298202782114</v>
          </cell>
          <cell r="C45">
            <v>3249.5018431335648</v>
          </cell>
          <cell r="D45">
            <v>3638.8830919851557</v>
          </cell>
          <cell r="E45">
            <v>1767.7727700522723</v>
          </cell>
          <cell r="F45">
            <v>2007.2931030919128</v>
          </cell>
          <cell r="G45">
            <v>5328.1723000000002</v>
          </cell>
          <cell r="H45">
            <v>269.11870670265409</v>
          </cell>
          <cell r="K45">
            <v>39.576099999999997</v>
          </cell>
          <cell r="M45">
            <v>74.803399999999996</v>
          </cell>
          <cell r="O45">
            <v>717.09010000000012</v>
          </cell>
          <cell r="Q45">
            <v>1497.0886</v>
          </cell>
          <cell r="W45">
            <v>3.1850000000000001</v>
          </cell>
          <cell r="AD45">
            <v>11.378399999999999</v>
          </cell>
          <cell r="AM45">
            <v>12.664199999999999</v>
          </cell>
          <cell r="AT45">
            <v>1.3654999999999999</v>
          </cell>
          <cell r="AZ45">
            <v>2.5004</v>
          </cell>
          <cell r="BD45">
            <v>191.2313</v>
          </cell>
          <cell r="DO45">
            <v>45</v>
          </cell>
        </row>
        <row r="46">
          <cell r="A46" t="str">
            <v>Binghamton, NY Metro Area</v>
          </cell>
          <cell r="B46">
            <v>6852.7111629134297</v>
          </cell>
          <cell r="C46">
            <v>4674.2233691708334</v>
          </cell>
          <cell r="D46">
            <v>3700.5416835394253</v>
          </cell>
          <cell r="E46">
            <v>1253.8922</v>
          </cell>
          <cell r="F46">
            <v>640.75444720919836</v>
          </cell>
          <cell r="G46">
            <v>523.07870031082348</v>
          </cell>
          <cell r="H46">
            <v>2406.9977043299778</v>
          </cell>
          <cell r="I46">
            <v>2900.2736141447058</v>
          </cell>
          <cell r="J46">
            <v>645.84325918727927</v>
          </cell>
          <cell r="K46">
            <v>119.14170000000001</v>
          </cell>
          <cell r="M46">
            <v>482.30077003850852</v>
          </cell>
          <cell r="N46">
            <v>65.84</v>
          </cell>
          <cell r="O46">
            <v>107.06122567318523</v>
          </cell>
          <cell r="S46">
            <v>931.41665240833936</v>
          </cell>
          <cell r="T46">
            <v>56.033099999999997</v>
          </cell>
          <cell r="U46">
            <v>57.7682</v>
          </cell>
          <cell r="X46">
            <v>80.207899999999995</v>
          </cell>
          <cell r="Y46">
            <v>46.86167427909372</v>
          </cell>
          <cell r="AF46">
            <v>71.675914724169857</v>
          </cell>
          <cell r="AH46">
            <v>2781.4933000000001</v>
          </cell>
          <cell r="DO46">
            <v>46</v>
          </cell>
        </row>
        <row r="47">
          <cell r="A47" t="str">
            <v>Birmingham-Hoover, AL Metro Area</v>
          </cell>
          <cell r="B47">
            <v>3870.1928088891791</v>
          </cell>
          <cell r="C47">
            <v>4777.3312844487109</v>
          </cell>
          <cell r="D47">
            <v>3962.9990738417464</v>
          </cell>
          <cell r="E47">
            <v>3094.6909360516802</v>
          </cell>
          <cell r="F47">
            <v>3230.9166892002577</v>
          </cell>
          <cell r="G47">
            <v>2915.6090588579177</v>
          </cell>
          <cell r="H47">
            <v>1731.2134238996537</v>
          </cell>
          <cell r="I47">
            <v>1913.8076508006279</v>
          </cell>
          <cell r="J47">
            <v>1637.5008665790376</v>
          </cell>
          <cell r="K47">
            <v>1712.0037343230942</v>
          </cell>
          <cell r="L47">
            <v>2009.6124299290689</v>
          </cell>
          <cell r="M47">
            <v>1510.1820584031375</v>
          </cell>
          <cell r="N47">
            <v>1389.2256034708475</v>
          </cell>
          <cell r="O47">
            <v>746.48629577755264</v>
          </cell>
          <cell r="P47">
            <v>529.42019777908069</v>
          </cell>
          <cell r="Q47">
            <v>499.80140619869803</v>
          </cell>
          <cell r="R47">
            <v>1015.1018759399108</v>
          </cell>
          <cell r="S47">
            <v>545.64461290668658</v>
          </cell>
          <cell r="T47">
            <v>794.16976865069353</v>
          </cell>
          <cell r="U47">
            <v>422.91519643167391</v>
          </cell>
          <cell r="V47">
            <v>278.43352542191406</v>
          </cell>
          <cell r="W47">
            <v>106.54868467566916</v>
          </cell>
          <cell r="X47">
            <v>256.55868333532436</v>
          </cell>
          <cell r="Y47">
            <v>246.5086</v>
          </cell>
          <cell r="Z47">
            <v>92.166637243276753</v>
          </cell>
          <cell r="AA47">
            <v>88.14177961503681</v>
          </cell>
          <cell r="AB47">
            <v>98.914676151607637</v>
          </cell>
          <cell r="AC47">
            <v>97.527251920641618</v>
          </cell>
          <cell r="AD47">
            <v>239.90082989651208</v>
          </cell>
          <cell r="AE47">
            <v>140.0026844774217</v>
          </cell>
          <cell r="AF47">
            <v>279.49779999999998</v>
          </cell>
          <cell r="AH47">
            <v>178.19530534611016</v>
          </cell>
          <cell r="AI47">
            <v>102.89096636257884</v>
          </cell>
          <cell r="AJ47">
            <v>22.372199999999999</v>
          </cell>
          <cell r="AK47">
            <v>216.3379709724604</v>
          </cell>
          <cell r="AL47">
            <v>160.05855150628452</v>
          </cell>
          <cell r="AM47">
            <v>70.810199999999995</v>
          </cell>
          <cell r="AN47">
            <v>39.9604</v>
          </cell>
          <cell r="AO47">
            <v>36.272358321881207</v>
          </cell>
          <cell r="AP47">
            <v>52.447099999999999</v>
          </cell>
          <cell r="AQ47">
            <v>102.28756202988522</v>
          </cell>
          <cell r="AU47">
            <v>49.437923984526115</v>
          </cell>
          <cell r="AV47">
            <v>222.0026</v>
          </cell>
          <cell r="AW47">
            <v>66.247699999999995</v>
          </cell>
          <cell r="AX47">
            <v>56.679506741727309</v>
          </cell>
          <cell r="AY47">
            <v>222.16800000000001</v>
          </cell>
          <cell r="AZ47">
            <v>72.340400000000002</v>
          </cell>
          <cell r="BA47">
            <v>23.834043829444887</v>
          </cell>
          <cell r="BD47">
            <v>45.465299999999999</v>
          </cell>
          <cell r="DO47">
            <v>47</v>
          </cell>
        </row>
        <row r="48">
          <cell r="A48" t="str">
            <v>Bismarck, ND Metro Area</v>
          </cell>
          <cell r="B48">
            <v>3994.0620055104091</v>
          </cell>
          <cell r="C48">
            <v>3594.9826078994861</v>
          </cell>
          <cell r="D48">
            <v>2593.5267842006897</v>
          </cell>
          <cell r="E48">
            <v>281.04179177699507</v>
          </cell>
          <cell r="F48">
            <v>83.149600000000007</v>
          </cell>
          <cell r="G48">
            <v>2172.3863722006354</v>
          </cell>
          <cell r="H48">
            <v>25.463100000000004</v>
          </cell>
          <cell r="I48">
            <v>162.5335</v>
          </cell>
          <cell r="O48">
            <v>2.9300781985670423</v>
          </cell>
          <cell r="X48">
            <v>1.8638999999999999</v>
          </cell>
          <cell r="AS48">
            <v>4.7751000000000001</v>
          </cell>
          <cell r="DO48">
            <v>48</v>
          </cell>
        </row>
        <row r="49">
          <cell r="A49" t="str">
            <v>Blacksburg-Christiansburg-Radford, VA Metro Area</v>
          </cell>
          <cell r="B49">
            <v>4482.7425183867235</v>
          </cell>
          <cell r="C49">
            <v>2326.1969777725922</v>
          </cell>
          <cell r="D49">
            <v>2010.7380800111514</v>
          </cell>
          <cell r="F49">
            <v>31.734200000000001</v>
          </cell>
          <cell r="G49">
            <v>398.65528738492156</v>
          </cell>
          <cell r="I49">
            <v>451.1458842290956</v>
          </cell>
          <cell r="J49">
            <v>33.136800000000001</v>
          </cell>
          <cell r="K49">
            <v>1226.0480896154199</v>
          </cell>
          <cell r="L49">
            <v>726.00558981223617</v>
          </cell>
          <cell r="M49">
            <v>650.99007993462021</v>
          </cell>
          <cell r="O49">
            <v>31.454699999999999</v>
          </cell>
          <cell r="Q49">
            <v>0.42099999999999999</v>
          </cell>
          <cell r="R49">
            <v>896.74341319095481</v>
          </cell>
          <cell r="U49">
            <v>30.629799999999999</v>
          </cell>
          <cell r="V49">
            <v>55.376424983734545</v>
          </cell>
          <cell r="X49">
            <v>537.15655130243749</v>
          </cell>
          <cell r="Y49">
            <v>97.365799999999993</v>
          </cell>
          <cell r="Z49">
            <v>111.33029999999999</v>
          </cell>
          <cell r="DO49">
            <v>49</v>
          </cell>
        </row>
        <row r="50">
          <cell r="A50" t="str">
            <v>Bloomington, IN Metro Area</v>
          </cell>
          <cell r="B50">
            <v>6041.3696091694983</v>
          </cell>
          <cell r="C50">
            <v>5277.8876692951571</v>
          </cell>
          <cell r="D50">
            <v>2146.6941945072977</v>
          </cell>
          <cell r="E50">
            <v>1017.2602470662705</v>
          </cell>
          <cell r="F50">
            <v>682.95519999999999</v>
          </cell>
          <cell r="G50">
            <v>321.94340947773617</v>
          </cell>
          <cell r="H50">
            <v>218.90170022436735</v>
          </cell>
          <cell r="J50">
            <v>53.964500000000001</v>
          </cell>
          <cell r="K50">
            <v>114.56180000000001</v>
          </cell>
          <cell r="N50">
            <v>54.865536006953064</v>
          </cell>
          <cell r="P50">
            <v>216.303</v>
          </cell>
          <cell r="R50">
            <v>50.605499999999999</v>
          </cell>
          <cell r="S50">
            <v>53.902999999999999</v>
          </cell>
          <cell r="W50">
            <v>33.235799999999998</v>
          </cell>
          <cell r="X50">
            <v>43.294199999999996</v>
          </cell>
          <cell r="Y50">
            <v>305.49360000000001</v>
          </cell>
          <cell r="Z50">
            <v>58.030700000000003</v>
          </cell>
          <cell r="AE50">
            <v>26.762899999999998</v>
          </cell>
          <cell r="AI50">
            <v>44.294600000000003</v>
          </cell>
          <cell r="AJ50">
            <v>1170.0246</v>
          </cell>
          <cell r="AK50">
            <v>762.9145879964824</v>
          </cell>
          <cell r="DO50">
            <v>50</v>
          </cell>
        </row>
        <row r="51">
          <cell r="A51" t="str">
            <v>Bloomington-Normal, IL Metro Area</v>
          </cell>
          <cell r="B51">
            <v>6149.9367160889278</v>
          </cell>
          <cell r="C51">
            <v>3125.099652692998</v>
          </cell>
          <cell r="D51">
            <v>7677.689691242992</v>
          </cell>
          <cell r="E51">
            <v>1902.7743939995853</v>
          </cell>
          <cell r="F51">
            <v>641.04643262779939</v>
          </cell>
          <cell r="G51">
            <v>102.76910000000001</v>
          </cell>
          <cell r="J51">
            <v>56.279200000000003</v>
          </cell>
          <cell r="K51">
            <v>22.6174</v>
          </cell>
          <cell r="L51">
            <v>36.659100000000002</v>
          </cell>
          <cell r="M51">
            <v>39.050400000000003</v>
          </cell>
          <cell r="Q51">
            <v>136.279</v>
          </cell>
          <cell r="T51">
            <v>18.445499999999999</v>
          </cell>
          <cell r="U51">
            <v>27.831751105249939</v>
          </cell>
          <cell r="V51">
            <v>21.346699999999998</v>
          </cell>
          <cell r="DO51">
            <v>51</v>
          </cell>
        </row>
        <row r="52">
          <cell r="A52" t="str">
            <v>Boise City-Nampa, ID Metro Area</v>
          </cell>
          <cell r="B52">
            <v>1928.6371999999999</v>
          </cell>
          <cell r="C52">
            <v>4423.3987764515568</v>
          </cell>
          <cell r="D52">
            <v>4006.9694035242178</v>
          </cell>
          <cell r="E52">
            <v>3974.209105648994</v>
          </cell>
          <cell r="F52">
            <v>3611.8853265995217</v>
          </cell>
          <cell r="G52">
            <v>3215.0269732553033</v>
          </cell>
          <cell r="H52">
            <v>2784.1152673679057</v>
          </cell>
          <cell r="I52">
            <v>832.60029492971887</v>
          </cell>
          <cell r="J52">
            <v>1637.8947323089435</v>
          </cell>
          <cell r="K52">
            <v>818.02601080610862</v>
          </cell>
          <cell r="L52">
            <v>1544.2529755329804</v>
          </cell>
          <cell r="M52">
            <v>569.4374780837004</v>
          </cell>
          <cell r="O52">
            <v>228.75620000000001</v>
          </cell>
          <cell r="P52">
            <v>143.83222486631016</v>
          </cell>
          <cell r="R52">
            <v>1010.492</v>
          </cell>
          <cell r="S52">
            <v>2172.4772774942826</v>
          </cell>
          <cell r="T52">
            <v>3482.0151131424741</v>
          </cell>
          <cell r="U52">
            <v>2658.1138717627464</v>
          </cell>
          <cell r="V52">
            <v>715.13902586593576</v>
          </cell>
          <cell r="W52">
            <v>749.75019999999995</v>
          </cell>
          <cell r="X52">
            <v>252.36070872174957</v>
          </cell>
          <cell r="Y52">
            <v>870.85543156715585</v>
          </cell>
          <cell r="Z52">
            <v>2224.8263218438337</v>
          </cell>
          <cell r="AA52">
            <v>23.291470831963171</v>
          </cell>
          <cell r="AC52">
            <v>110.45819999999999</v>
          </cell>
          <cell r="AD52">
            <v>80.681799999999996</v>
          </cell>
          <cell r="AG52">
            <v>53.4163</v>
          </cell>
          <cell r="AK52">
            <v>84.273799999999994</v>
          </cell>
          <cell r="AM52">
            <v>90.059600000000003</v>
          </cell>
          <cell r="AO52">
            <v>57.134999999999998</v>
          </cell>
          <cell r="AT52">
            <v>0.50480000000000003</v>
          </cell>
          <cell r="DO52">
            <v>52</v>
          </cell>
        </row>
        <row r="53">
          <cell r="A53" t="str">
            <v>Boston-Cambridge-Quincy, MA-NH Metro Area</v>
          </cell>
          <cell r="B53">
            <v>39019.077040993157</v>
          </cell>
          <cell r="C53">
            <v>37121.786836892941</v>
          </cell>
          <cell r="D53">
            <v>23948.4583647566</v>
          </cell>
          <cell r="E53">
            <v>21616.475626881176</v>
          </cell>
          <cell r="F53">
            <v>17182.227832996519</v>
          </cell>
          <cell r="G53">
            <v>11461.339143970998</v>
          </cell>
          <cell r="H53">
            <v>8168.1470359026625</v>
          </cell>
          <cell r="I53">
            <v>6403.486646470823</v>
          </cell>
          <cell r="J53">
            <v>6645.1847541177813</v>
          </cell>
          <cell r="K53">
            <v>8398.943266978551</v>
          </cell>
          <cell r="L53">
            <v>4899.4036655177988</v>
          </cell>
          <cell r="M53">
            <v>2666.8997285726819</v>
          </cell>
          <cell r="N53">
            <v>2215.4322511435635</v>
          </cell>
          <cell r="O53">
            <v>4464.1535479605009</v>
          </cell>
          <cell r="P53">
            <v>2512.6487549119297</v>
          </cell>
          <cell r="Q53">
            <v>2630.5354770045783</v>
          </cell>
          <cell r="R53">
            <v>2164.2097516954996</v>
          </cell>
          <cell r="S53">
            <v>2547.363963567901</v>
          </cell>
          <cell r="T53">
            <v>2722.418954236608</v>
          </cell>
          <cell r="U53">
            <v>3797.5076413440684</v>
          </cell>
          <cell r="V53">
            <v>2289.1153392531123</v>
          </cell>
          <cell r="W53">
            <v>1662.5533078480723</v>
          </cell>
          <cell r="X53">
            <v>2715.2039245671895</v>
          </cell>
          <cell r="Y53">
            <v>5459.9100240426869</v>
          </cell>
          <cell r="Z53">
            <v>6226.7745433287282</v>
          </cell>
          <cell r="AA53">
            <v>5826.2509599990672</v>
          </cell>
          <cell r="AB53">
            <v>2593.9952596393941</v>
          </cell>
          <cell r="AC53">
            <v>1232.6402262420982</v>
          </cell>
          <cell r="AD53">
            <v>3076.5369620419892</v>
          </cell>
          <cell r="AE53">
            <v>2876.1466715175197</v>
          </cell>
          <cell r="AF53">
            <v>878.25941843466501</v>
          </cell>
          <cell r="AG53">
            <v>874.33570320320314</v>
          </cell>
          <cell r="AH53">
            <v>2026.7395308826369</v>
          </cell>
          <cell r="AI53">
            <v>942.25812928756977</v>
          </cell>
          <cell r="AJ53">
            <v>713.76976927948863</v>
          </cell>
          <cell r="AK53">
            <v>1070.6667678222223</v>
          </cell>
          <cell r="AL53">
            <v>696.44681843158321</v>
          </cell>
          <cell r="AM53">
            <v>563.65936876943454</v>
          </cell>
          <cell r="AN53">
            <v>847.97950947863978</v>
          </cell>
          <cell r="AO53">
            <v>891.77865246650424</v>
          </cell>
          <cell r="AP53">
            <v>899.77483665155717</v>
          </cell>
          <cell r="AQ53">
            <v>1013.0493798593507</v>
          </cell>
          <cell r="AR53">
            <v>1053.3997810944732</v>
          </cell>
          <cell r="AS53">
            <v>426.16334612949868</v>
          </cell>
          <cell r="AT53">
            <v>361.79081013119969</v>
          </cell>
          <cell r="AU53">
            <v>682.57505314444813</v>
          </cell>
          <cell r="AV53">
            <v>322.73641389206426</v>
          </cell>
          <cell r="AW53">
            <v>519.934012404957</v>
          </cell>
          <cell r="AX53">
            <v>587.56581348093482</v>
          </cell>
          <cell r="AY53">
            <v>267.54703697133863</v>
          </cell>
          <cell r="AZ53">
            <v>1280.4837</v>
          </cell>
          <cell r="BA53">
            <v>4246.6011074960397</v>
          </cell>
          <cell r="BB53">
            <v>1027.6330718219917</v>
          </cell>
          <cell r="BC53">
            <v>802.20314342584163</v>
          </cell>
          <cell r="BD53">
            <v>918.03611183591795</v>
          </cell>
          <cell r="BF53">
            <v>923.17660554937845</v>
          </cell>
          <cell r="BH53">
            <v>1457.6993229553366</v>
          </cell>
          <cell r="BI53">
            <v>1529.9199685700341</v>
          </cell>
          <cell r="BK53">
            <v>671.44473164110229</v>
          </cell>
          <cell r="BL53">
            <v>892.93176534752479</v>
          </cell>
          <cell r="BM53">
            <v>552.62310000000002</v>
          </cell>
          <cell r="BO53">
            <v>2067.6340505445619</v>
          </cell>
          <cell r="BQ53">
            <v>626.47370000000001</v>
          </cell>
          <cell r="BT53">
            <v>155.35390000000001</v>
          </cell>
          <cell r="BX53">
            <v>117.4366</v>
          </cell>
          <cell r="BY53">
            <v>61.357799999999997</v>
          </cell>
          <cell r="DO53">
            <v>53</v>
          </cell>
        </row>
        <row r="54">
          <cell r="A54" t="str">
            <v>Boulder, CO Metro Area</v>
          </cell>
          <cell r="B54">
            <v>8096.2588089212622</v>
          </cell>
          <cell r="C54">
            <v>9859.9374836832649</v>
          </cell>
          <cell r="D54">
            <v>4269.6142850120923</v>
          </cell>
          <cell r="E54">
            <v>1555.4368711148286</v>
          </cell>
          <cell r="F54">
            <v>661.49786937685462</v>
          </cell>
          <cell r="G54">
            <v>2475.1655999999998</v>
          </cell>
          <cell r="H54">
            <v>519.22969999999998</v>
          </cell>
          <cell r="I54">
            <v>3109.3439944820097</v>
          </cell>
          <cell r="J54">
            <v>1357.1287497492813</v>
          </cell>
          <cell r="K54">
            <v>2045.1553687958738</v>
          </cell>
          <cell r="L54">
            <v>663.60539409234809</v>
          </cell>
          <cell r="M54">
            <v>1195.3454999999999</v>
          </cell>
          <cell r="N54">
            <v>1421.8308820232101</v>
          </cell>
          <cell r="O54">
            <v>3259.5885362218951</v>
          </cell>
          <cell r="P54">
            <v>3780.9320508536662</v>
          </cell>
          <cell r="Q54">
            <v>5520.0623531846013</v>
          </cell>
          <cell r="R54">
            <v>1194.1943664118567</v>
          </cell>
          <cell r="DO54">
            <v>54</v>
          </cell>
        </row>
        <row r="55">
          <cell r="A55" t="str">
            <v>Bowling Green, KY Metro Area</v>
          </cell>
          <cell r="B55">
            <v>6016.2530825024087</v>
          </cell>
          <cell r="C55">
            <v>1178.0870031181587</v>
          </cell>
          <cell r="D55">
            <v>2483.5449430347126</v>
          </cell>
          <cell r="E55">
            <v>1290.7490298372675</v>
          </cell>
          <cell r="F55">
            <v>1162.5024998829269</v>
          </cell>
          <cell r="G55">
            <v>256.60321346525097</v>
          </cell>
          <cell r="H55">
            <v>73.514486610634933</v>
          </cell>
          <cell r="J55">
            <v>87.881</v>
          </cell>
          <cell r="K55">
            <v>77.121600000000001</v>
          </cell>
          <cell r="M55">
            <v>50.317199999999993</v>
          </cell>
          <cell r="Q55">
            <v>63.438499999999998</v>
          </cell>
          <cell r="U55">
            <v>41.5779</v>
          </cell>
          <cell r="Z55">
            <v>38.091591897366641</v>
          </cell>
          <cell r="DO55">
            <v>55</v>
          </cell>
        </row>
        <row r="56">
          <cell r="A56" t="str">
            <v>Bremerton-Silverdale, WA Metro Area</v>
          </cell>
          <cell r="B56">
            <v>9897.1064941374843</v>
          </cell>
          <cell r="C56">
            <v>3907.3999277592402</v>
          </cell>
          <cell r="D56">
            <v>2814.3139050545033</v>
          </cell>
          <cell r="E56">
            <v>2448.4973948450265</v>
          </cell>
          <cell r="F56">
            <v>2050.5946066452625</v>
          </cell>
          <cell r="G56">
            <v>492.29687426795476</v>
          </cell>
          <cell r="H56">
            <v>1621.5112018800946</v>
          </cell>
          <cell r="I56">
            <v>1496.3893019147829</v>
          </cell>
          <cell r="J56">
            <v>424.86144384843647</v>
          </cell>
          <cell r="K56">
            <v>432.59118892288518</v>
          </cell>
          <cell r="L56">
            <v>414.56452106172668</v>
          </cell>
          <cell r="M56">
            <v>1061.8875334267188</v>
          </cell>
          <cell r="O56">
            <v>628.14120000000003</v>
          </cell>
          <cell r="P56">
            <v>192.0985</v>
          </cell>
          <cell r="Q56">
            <v>651.05769999999995</v>
          </cell>
          <cell r="S56">
            <v>249.50830000000002</v>
          </cell>
          <cell r="V56">
            <v>274.44830000000002</v>
          </cell>
          <cell r="DO56">
            <v>56</v>
          </cell>
        </row>
        <row r="57">
          <cell r="A57" t="str">
            <v>Bridgeport-Stamford-Norwalk, CT Metro Area</v>
          </cell>
          <cell r="B57">
            <v>17905.656419994906</v>
          </cell>
          <cell r="C57">
            <v>11994.018478085067</v>
          </cell>
          <cell r="D57">
            <v>6652.4165477774422</v>
          </cell>
          <cell r="E57">
            <v>3808.2646850899182</v>
          </cell>
          <cell r="F57">
            <v>2086.7906996691295</v>
          </cell>
          <cell r="G57">
            <v>878.35383013993533</v>
          </cell>
          <cell r="H57">
            <v>1544.5823325295776</v>
          </cell>
          <cell r="I57">
            <v>1048.1844712672639</v>
          </cell>
          <cell r="J57">
            <v>1250.3205897832818</v>
          </cell>
          <cell r="K57">
            <v>1202.2669760618394</v>
          </cell>
          <cell r="L57">
            <v>2228.0180570752814</v>
          </cell>
          <cell r="M57">
            <v>2197.584731627097</v>
          </cell>
          <cell r="N57">
            <v>3189.5255828002155</v>
          </cell>
          <cell r="O57">
            <v>6475.8374514975794</v>
          </cell>
          <cell r="P57">
            <v>1435.5743344034436</v>
          </cell>
          <cell r="Q57">
            <v>2020.1985163075306</v>
          </cell>
          <cell r="R57">
            <v>763.99092226489529</v>
          </cell>
          <cell r="S57">
            <v>2256.2578666955874</v>
          </cell>
          <cell r="T57">
            <v>4784.5226487066302</v>
          </cell>
          <cell r="U57">
            <v>6996.595933909708</v>
          </cell>
          <cell r="V57">
            <v>8846.0763193438743</v>
          </cell>
          <cell r="W57">
            <v>3935.6258756172397</v>
          </cell>
          <cell r="X57">
            <v>1607.0713699581408</v>
          </cell>
          <cell r="Y57">
            <v>1549.0471817915809</v>
          </cell>
          <cell r="Z57">
            <v>5543.7116192572212</v>
          </cell>
          <cell r="AA57">
            <v>912.99352270685029</v>
          </cell>
          <cell r="AB57">
            <v>4640.3867846153844</v>
          </cell>
          <cell r="AC57">
            <v>3966.9218000000001</v>
          </cell>
          <cell r="AG57">
            <v>176.00210000000001</v>
          </cell>
          <cell r="DO57">
            <v>57</v>
          </cell>
        </row>
        <row r="58">
          <cell r="A58" t="str">
            <v>Brownsville-Harlingen, TX Metro Area</v>
          </cell>
          <cell r="B58">
            <v>8921.0128230424543</v>
          </cell>
          <cell r="C58">
            <v>6210.4196191159499</v>
          </cell>
          <cell r="D58">
            <v>5348.5514233691201</v>
          </cell>
          <cell r="E58">
            <v>4911.1927377001939</v>
          </cell>
          <cell r="F58">
            <v>4026.3612127531715</v>
          </cell>
          <cell r="G58">
            <v>1771.795672599276</v>
          </cell>
          <cell r="H58">
            <v>174.2345508864164</v>
          </cell>
          <cell r="J58">
            <v>173.98240000000001</v>
          </cell>
          <cell r="K58">
            <v>375.68929999999995</v>
          </cell>
          <cell r="M58">
            <v>916.33605228389001</v>
          </cell>
          <cell r="O58">
            <v>200.47</v>
          </cell>
          <cell r="Q58">
            <v>109.142</v>
          </cell>
          <cell r="R58">
            <v>146.14429999999999</v>
          </cell>
          <cell r="S58">
            <v>2458.96577177168</v>
          </cell>
          <cell r="T58">
            <v>182.13290076989551</v>
          </cell>
          <cell r="U58">
            <v>2217.2723999999998</v>
          </cell>
          <cell r="W58">
            <v>2497.00834191902</v>
          </cell>
          <cell r="X58">
            <v>1817.5862019904712</v>
          </cell>
          <cell r="Y58">
            <v>3025.4069418336207</v>
          </cell>
          <cell r="Z58">
            <v>1913.9164079363713</v>
          </cell>
          <cell r="AA58">
            <v>909.5590078424774</v>
          </cell>
          <cell r="AB58">
            <v>1080.1954534631573</v>
          </cell>
          <cell r="AC58">
            <v>137.43632299346223</v>
          </cell>
          <cell r="AG58">
            <v>114.71469999999999</v>
          </cell>
          <cell r="DO58">
            <v>58</v>
          </cell>
        </row>
        <row r="59">
          <cell r="A59" t="str">
            <v>Brunswick, GA Metro Area</v>
          </cell>
          <cell r="B59">
            <v>767.17103504869544</v>
          </cell>
          <cell r="C59">
            <v>1187.8977</v>
          </cell>
          <cell r="D59">
            <v>1131.1247000000001</v>
          </cell>
          <cell r="E59">
            <v>1347.1646999999998</v>
          </cell>
          <cell r="F59">
            <v>1909.2581609132312</v>
          </cell>
          <cell r="G59">
            <v>401.84703943907954</v>
          </cell>
          <cell r="H59">
            <v>1041.4389609452737</v>
          </cell>
          <cell r="I59">
            <v>124.1118</v>
          </cell>
          <cell r="J59">
            <v>115.02834919666586</v>
          </cell>
          <cell r="R59">
            <v>35.335700000000003</v>
          </cell>
          <cell r="U59">
            <v>46.259700000000002</v>
          </cell>
          <cell r="X59">
            <v>36.986099999999993</v>
          </cell>
          <cell r="AD59">
            <v>24.8979</v>
          </cell>
          <cell r="AE59">
            <v>16.4129</v>
          </cell>
          <cell r="AP59">
            <v>33.531100000000002</v>
          </cell>
          <cell r="DO59">
            <v>59</v>
          </cell>
        </row>
        <row r="60">
          <cell r="A60" t="str">
            <v>Buffalo-Niagara Falls, NY Metro Area</v>
          </cell>
          <cell r="B60">
            <v>9680.4555426640163</v>
          </cell>
          <cell r="C60">
            <v>10505.684931644315</v>
          </cell>
          <cell r="D60">
            <v>9973.5342421485311</v>
          </cell>
          <cell r="E60">
            <v>7760.5060528683443</v>
          </cell>
          <cell r="F60">
            <v>9489.2144502857027</v>
          </cell>
          <cell r="G60">
            <v>7698.020547253418</v>
          </cell>
          <cell r="H60">
            <v>4737.323742614717</v>
          </cell>
          <cell r="I60">
            <v>3866.1256541530461</v>
          </cell>
          <cell r="J60">
            <v>3011.0776878396759</v>
          </cell>
          <cell r="K60">
            <v>3184.7925278142961</v>
          </cell>
          <cell r="L60">
            <v>3040.1598012141562</v>
          </cell>
          <cell r="M60">
            <v>1819.4613263792819</v>
          </cell>
          <cell r="N60">
            <v>980.29687533892263</v>
          </cell>
          <cell r="O60">
            <v>1998.1887571728757</v>
          </cell>
          <cell r="P60">
            <v>2034.1087850961956</v>
          </cell>
          <cell r="Q60">
            <v>864.13175440074895</v>
          </cell>
          <cell r="R60">
            <v>3206.5091479283701</v>
          </cell>
          <cell r="S60">
            <v>3722.7457784140229</v>
          </cell>
          <cell r="T60">
            <v>1703.6139106641021</v>
          </cell>
          <cell r="U60">
            <v>1010.8453594281204</v>
          </cell>
          <cell r="V60">
            <v>636.90923935717933</v>
          </cell>
          <cell r="W60">
            <v>1786.5516755522515</v>
          </cell>
          <cell r="X60">
            <v>2299.8491784113894</v>
          </cell>
          <cell r="Z60">
            <v>80.921195832080954</v>
          </cell>
          <cell r="AA60">
            <v>108.54513920704846</v>
          </cell>
          <cell r="AB60">
            <v>391.94012578496671</v>
          </cell>
          <cell r="AC60">
            <v>1113.7324169409487</v>
          </cell>
          <cell r="AD60">
            <v>732.36678837209297</v>
          </cell>
          <cell r="AE60">
            <v>1491.8272999999999</v>
          </cell>
          <cell r="AF60">
            <v>759.64400661814489</v>
          </cell>
          <cell r="AG60">
            <v>121.3472</v>
          </cell>
          <cell r="AK60">
            <v>76.856200000000001</v>
          </cell>
          <cell r="DO60">
            <v>60</v>
          </cell>
        </row>
        <row r="61">
          <cell r="A61" t="str">
            <v>Burlington, NC Metro Area</v>
          </cell>
          <cell r="B61">
            <v>2942.5547407962658</v>
          </cell>
          <cell r="C61">
            <v>1520.2791716394511</v>
          </cell>
          <cell r="D61">
            <v>1624.0988772460087</v>
          </cell>
          <cell r="E61">
            <v>859.30559999999991</v>
          </cell>
          <cell r="F61">
            <v>774.32417061871513</v>
          </cell>
          <cell r="G61">
            <v>862.87010872127291</v>
          </cell>
          <cell r="I61">
            <v>251.27958696673403</v>
          </cell>
          <cell r="J61">
            <v>559.88514487978625</v>
          </cell>
          <cell r="K61">
            <v>96.705739629915186</v>
          </cell>
          <cell r="L61">
            <v>165.47780000000003</v>
          </cell>
          <cell r="P61">
            <v>69.567738729120009</v>
          </cell>
          <cell r="DO61">
            <v>61</v>
          </cell>
        </row>
        <row r="62">
          <cell r="A62" t="str">
            <v>Burlington-South Burlington, VT Metro Area</v>
          </cell>
          <cell r="B62">
            <v>8321.7036875440481</v>
          </cell>
          <cell r="C62">
            <v>4410.834440815639</v>
          </cell>
          <cell r="D62">
            <v>1383.7644356167648</v>
          </cell>
          <cell r="E62">
            <v>2481.724935353061</v>
          </cell>
          <cell r="F62">
            <v>758.60513922400423</v>
          </cell>
          <cell r="G62">
            <v>2353.2361999999998</v>
          </cell>
          <cell r="H62">
            <v>296.45092416782717</v>
          </cell>
          <cell r="J62">
            <v>255.44610000000003</v>
          </cell>
          <cell r="M62">
            <v>157.96716348500306</v>
          </cell>
          <cell r="O62">
            <v>108.53279999999999</v>
          </cell>
          <cell r="P62">
            <v>44.690800000000003</v>
          </cell>
          <cell r="Q62">
            <v>116.4301</v>
          </cell>
          <cell r="S62">
            <v>89.745855792191037</v>
          </cell>
          <cell r="T62">
            <v>60.681200000000004</v>
          </cell>
          <cell r="Y62">
            <v>1491.8535754961174</v>
          </cell>
          <cell r="Z62">
            <v>3821.9502000000002</v>
          </cell>
          <cell r="AC62">
            <v>26.734200000000001</v>
          </cell>
          <cell r="AF62">
            <v>106.68933585365855</v>
          </cell>
          <cell r="AI62">
            <v>51.962699999999998</v>
          </cell>
          <cell r="AM62">
            <v>46.113700000000001</v>
          </cell>
          <cell r="AS62">
            <v>33.437800000000003</v>
          </cell>
          <cell r="DO62">
            <v>62</v>
          </cell>
        </row>
        <row r="63">
          <cell r="A63" t="str">
            <v>Canton-Massillon, OH Metro Area</v>
          </cell>
          <cell r="B63">
            <v>7099.0615705636965</v>
          </cell>
          <cell r="C63">
            <v>5377.0838629639056</v>
          </cell>
          <cell r="D63">
            <v>3986.0722611321235</v>
          </cell>
          <cell r="E63">
            <v>2088.6519079000873</v>
          </cell>
          <cell r="F63">
            <v>1628.9137732750937</v>
          </cell>
          <cell r="G63">
            <v>1879.6519905659829</v>
          </cell>
          <cell r="H63">
            <v>1462.8847687949567</v>
          </cell>
          <cell r="I63">
            <v>2122.525788800624</v>
          </cell>
          <cell r="J63">
            <v>923.68317846490709</v>
          </cell>
          <cell r="K63">
            <v>2550.1444999999999</v>
          </cell>
          <cell r="L63">
            <v>464.75370344385942</v>
          </cell>
          <cell r="M63">
            <v>801.11681358605017</v>
          </cell>
          <cell r="N63">
            <v>697.66128204139522</v>
          </cell>
          <cell r="O63">
            <v>174.70185579004007</v>
          </cell>
          <cell r="P63">
            <v>280.65870000000001</v>
          </cell>
          <cell r="Q63">
            <v>1360.3911690301413</v>
          </cell>
          <cell r="R63">
            <v>2695.3573733796666</v>
          </cell>
          <cell r="W63">
            <v>146.18219642310859</v>
          </cell>
          <cell r="Z63">
            <v>45.563699999999997</v>
          </cell>
          <cell r="AC63">
            <v>33.821199999999997</v>
          </cell>
          <cell r="DO63">
            <v>63</v>
          </cell>
        </row>
        <row r="64">
          <cell r="A64" t="str">
            <v>Cape Coral-Fort Myers, FL Metro Area</v>
          </cell>
          <cell r="B64">
            <v>1844.3039000000001</v>
          </cell>
          <cell r="C64">
            <v>2388.9114133235676</v>
          </cell>
          <cell r="D64">
            <v>2899.1847760044971</v>
          </cell>
          <cell r="E64">
            <v>1960.2691883633743</v>
          </cell>
          <cell r="F64">
            <v>2219.3582306588883</v>
          </cell>
          <cell r="G64">
            <v>2868.2339585255449</v>
          </cell>
          <cell r="H64">
            <v>3343.5921538461544</v>
          </cell>
          <cell r="I64">
            <v>2320.8373071517622</v>
          </cell>
          <cell r="J64">
            <v>2095.743216275499</v>
          </cell>
          <cell r="K64">
            <v>1559.8633466185702</v>
          </cell>
          <cell r="L64">
            <v>776.02629889973468</v>
          </cell>
          <cell r="M64">
            <v>717.11962597082959</v>
          </cell>
          <cell r="N64">
            <v>1218.3557521571977</v>
          </cell>
          <cell r="O64">
            <v>1847.0568809327251</v>
          </cell>
          <cell r="P64">
            <v>2293.5305733257196</v>
          </cell>
          <cell r="Q64">
            <v>848.73695479320736</v>
          </cell>
          <cell r="R64">
            <v>537.83508126797835</v>
          </cell>
          <cell r="S64">
            <v>433.21424499428377</v>
          </cell>
          <cell r="T64">
            <v>1291.694163207547</v>
          </cell>
          <cell r="U64">
            <v>846.55764660470402</v>
          </cell>
          <cell r="V64">
            <v>1108.6036761023224</v>
          </cell>
          <cell r="W64">
            <v>684.94218491357128</v>
          </cell>
          <cell r="X64">
            <v>1647.6155273654917</v>
          </cell>
          <cell r="Y64">
            <v>1121.5806140126051</v>
          </cell>
          <cell r="Z64">
            <v>23.406700000000001</v>
          </cell>
          <cell r="AB64">
            <v>237.46729999999999</v>
          </cell>
          <cell r="DO64">
            <v>64</v>
          </cell>
        </row>
        <row r="65">
          <cell r="A65" t="str">
            <v>Cape Girardeau-Jackson, MO-IL Metro Area</v>
          </cell>
          <cell r="B65">
            <v>4186.1800384936278</v>
          </cell>
          <cell r="C65">
            <v>2658.7628538307636</v>
          </cell>
          <cell r="D65">
            <v>1486.0610433035715</v>
          </cell>
          <cell r="E65">
            <v>1328.6732</v>
          </cell>
          <cell r="F65">
            <v>98.951499999999996</v>
          </cell>
          <cell r="G65">
            <v>72.262200000000007</v>
          </cell>
          <cell r="J65">
            <v>603.8152</v>
          </cell>
          <cell r="K65">
            <v>29.492000000000001</v>
          </cell>
          <cell r="L65">
            <v>391.88560000000001</v>
          </cell>
          <cell r="M65">
            <v>21.9086</v>
          </cell>
          <cell r="O65">
            <v>24.9633</v>
          </cell>
          <cell r="P65">
            <v>41.470599999999997</v>
          </cell>
          <cell r="R65">
            <v>30.364899999999999</v>
          </cell>
          <cell r="Z65">
            <v>40.4771</v>
          </cell>
          <cell r="AB65">
            <v>132.93209999999999</v>
          </cell>
          <cell r="AD65">
            <v>161.25686280566279</v>
          </cell>
          <cell r="AE65">
            <v>12.018000000000001</v>
          </cell>
          <cell r="DO65">
            <v>65</v>
          </cell>
        </row>
        <row r="66">
          <cell r="A66" t="str">
            <v>Carson City, NV Metro Area</v>
          </cell>
          <cell r="B66">
            <v>3275.7792711367679</v>
          </cell>
          <cell r="C66">
            <v>3740.0863082519504</v>
          </cell>
          <cell r="D66">
            <v>3397.1278521045879</v>
          </cell>
          <cell r="E66">
            <v>414.63330000000002</v>
          </cell>
          <cell r="DO66">
            <v>66</v>
          </cell>
        </row>
        <row r="67">
          <cell r="A67" t="str">
            <v>Casper, WY Metro Area</v>
          </cell>
          <cell r="B67">
            <v>2871.6323355220802</v>
          </cell>
          <cell r="C67">
            <v>2802.8678303422544</v>
          </cell>
          <cell r="D67">
            <v>2432.3589081535611</v>
          </cell>
          <cell r="E67">
            <v>754.84990000000005</v>
          </cell>
          <cell r="F67">
            <v>1639.5419460224239</v>
          </cell>
          <cell r="G67">
            <v>323.71379999999999</v>
          </cell>
          <cell r="H67">
            <v>0.78159999999999996</v>
          </cell>
          <cell r="K67">
            <v>3.1267</v>
          </cell>
          <cell r="DO67">
            <v>67</v>
          </cell>
        </row>
        <row r="68">
          <cell r="A68" t="str">
            <v>Cedar Rapids, IA Metro Area</v>
          </cell>
          <cell r="B68">
            <v>2246.6846857254022</v>
          </cell>
          <cell r="C68">
            <v>2824.0174413701479</v>
          </cell>
          <cell r="D68">
            <v>2818.299602948121</v>
          </cell>
          <cell r="E68">
            <v>3780.5813467006228</v>
          </cell>
          <cell r="F68">
            <v>2268.1662979237162</v>
          </cell>
          <cell r="G68">
            <v>2072.7134600738327</v>
          </cell>
          <cell r="H68">
            <v>436.39830000000001</v>
          </cell>
          <cell r="I68">
            <v>237.7159</v>
          </cell>
          <cell r="J68">
            <v>53.274660373856555</v>
          </cell>
          <cell r="L68">
            <v>48.828200000000002</v>
          </cell>
          <cell r="M68">
            <v>30.313300000000002</v>
          </cell>
          <cell r="N68">
            <v>33.637700000000002</v>
          </cell>
          <cell r="O68">
            <v>53.795588662420379</v>
          </cell>
          <cell r="R68">
            <v>179.2876</v>
          </cell>
          <cell r="S68">
            <v>27.610900000000004</v>
          </cell>
          <cell r="T68">
            <v>27.523499999999999</v>
          </cell>
          <cell r="U68">
            <v>448.93779999999998</v>
          </cell>
          <cell r="X68">
            <v>384.2637100724819</v>
          </cell>
          <cell r="Y68">
            <v>13.0344</v>
          </cell>
          <cell r="AF68">
            <v>277.94088666290713</v>
          </cell>
          <cell r="AG68">
            <v>15.0189</v>
          </cell>
          <cell r="AK68">
            <v>19.093399999999999</v>
          </cell>
          <cell r="DO68">
            <v>68</v>
          </cell>
        </row>
        <row r="69">
          <cell r="A69" t="str">
            <v>Champaign-Urbana, IL Metro Area</v>
          </cell>
          <cell r="B69">
            <v>17758.655519019747</v>
          </cell>
          <cell r="C69">
            <v>5405.6984701281899</v>
          </cell>
          <cell r="D69">
            <v>3695.9460760721358</v>
          </cell>
          <cell r="E69">
            <v>880.96824603295795</v>
          </cell>
          <cell r="F69">
            <v>206.27209999999999</v>
          </cell>
          <cell r="J69">
            <v>143.34243886532346</v>
          </cell>
          <cell r="L69">
            <v>393.69709999999998</v>
          </cell>
          <cell r="M69">
            <v>61.5886</v>
          </cell>
          <cell r="O69">
            <v>445.62653588678268</v>
          </cell>
          <cell r="P69">
            <v>516.0633907640638</v>
          </cell>
          <cell r="Q69">
            <v>26.278600000000001</v>
          </cell>
          <cell r="T69">
            <v>215.97220000000002</v>
          </cell>
          <cell r="Y69">
            <v>31.768799999999999</v>
          </cell>
          <cell r="Z69">
            <v>976.25369999999998</v>
          </cell>
          <cell r="AA69">
            <v>533.64769999999999</v>
          </cell>
          <cell r="AB69">
            <v>13.2951</v>
          </cell>
          <cell r="AD69">
            <v>21.827400000000001</v>
          </cell>
          <cell r="AE69">
            <v>11.817600000000001</v>
          </cell>
          <cell r="AY69">
            <v>13.464600000000001</v>
          </cell>
          <cell r="DO69">
            <v>69</v>
          </cell>
        </row>
        <row r="70">
          <cell r="A70" t="str">
            <v>Charleston, WV Metro Area</v>
          </cell>
          <cell r="B70">
            <v>3694.0537795896817</v>
          </cell>
          <cell r="C70">
            <v>4329.4539873103804</v>
          </cell>
          <cell r="D70">
            <v>1346.3363766171306</v>
          </cell>
          <cell r="E70">
            <v>1861.9664112688718</v>
          </cell>
          <cell r="F70">
            <v>1127.6336083948593</v>
          </cell>
          <cell r="G70">
            <v>2269.4316193995382</v>
          </cell>
          <cell r="H70">
            <v>155.96679590194611</v>
          </cell>
          <cell r="I70">
            <v>828.14482822051912</v>
          </cell>
          <cell r="J70">
            <v>1737.9250240990696</v>
          </cell>
          <cell r="K70">
            <v>2147.5779157273219</v>
          </cell>
          <cell r="L70">
            <v>823.75001004868079</v>
          </cell>
          <cell r="M70">
            <v>316.19585270828151</v>
          </cell>
          <cell r="N70">
            <v>675.98131661645652</v>
          </cell>
          <cell r="O70">
            <v>81.3874</v>
          </cell>
          <cell r="P70">
            <v>44.094900000000003</v>
          </cell>
          <cell r="Q70">
            <v>60.387195025400167</v>
          </cell>
          <cell r="R70">
            <v>668.65890627623048</v>
          </cell>
          <cell r="S70">
            <v>60.737854324558867</v>
          </cell>
          <cell r="T70">
            <v>706.54957269581632</v>
          </cell>
          <cell r="U70">
            <v>989.12993833220798</v>
          </cell>
          <cell r="V70">
            <v>321.70819999999998</v>
          </cell>
          <cell r="W70">
            <v>56.273598260869562</v>
          </cell>
          <cell r="X70">
            <v>96.864900000000006</v>
          </cell>
          <cell r="Y70">
            <v>287.8759</v>
          </cell>
          <cell r="AA70">
            <v>56.628848565264299</v>
          </cell>
          <cell r="AC70">
            <v>26.491700000000002</v>
          </cell>
          <cell r="AF70">
            <v>25.815665432914741</v>
          </cell>
          <cell r="AG70">
            <v>77.263300000000001</v>
          </cell>
          <cell r="AJ70">
            <v>30.875599999999999</v>
          </cell>
          <cell r="AK70">
            <v>52.695399999999999</v>
          </cell>
          <cell r="DO70">
            <v>70</v>
          </cell>
        </row>
        <row r="71">
          <cell r="A71" t="str">
            <v>Charleston-North Charleston-Summerville, SC Metro Area</v>
          </cell>
          <cell r="B71">
            <v>9036.1535221561608</v>
          </cell>
          <cell r="C71">
            <v>6671.6800590547</v>
          </cell>
          <cell r="D71">
            <v>3256.144956037037</v>
          </cell>
          <cell r="E71">
            <v>1952.9709989511393</v>
          </cell>
          <cell r="F71">
            <v>2562.3258973373577</v>
          </cell>
          <cell r="G71">
            <v>2001.195287814108</v>
          </cell>
          <cell r="H71">
            <v>2471.2327338569366</v>
          </cell>
          <cell r="I71">
            <v>2484.6231847859235</v>
          </cell>
          <cell r="J71">
            <v>1183.5325627044151</v>
          </cell>
          <cell r="K71">
            <v>1766.2679506515024</v>
          </cell>
          <cell r="L71">
            <v>1208.4470338914587</v>
          </cell>
          <cell r="M71">
            <v>727.63297721255981</v>
          </cell>
          <cell r="N71">
            <v>1513.1620826686733</v>
          </cell>
          <cell r="O71">
            <v>3353.766364724604</v>
          </cell>
          <cell r="P71">
            <v>1714.314314081126</v>
          </cell>
          <cell r="Q71">
            <v>1505.999149022047</v>
          </cell>
          <cell r="R71">
            <v>960.77380325929494</v>
          </cell>
          <cell r="S71">
            <v>2644.3658183974012</v>
          </cell>
          <cell r="T71">
            <v>1861.4417622954652</v>
          </cell>
          <cell r="U71">
            <v>1613.7219538679167</v>
          </cell>
          <cell r="V71">
            <v>2006.9102971585633</v>
          </cell>
          <cell r="W71">
            <v>2318.181571594449</v>
          </cell>
          <cell r="X71">
            <v>1214.1201343099756</v>
          </cell>
          <cell r="Y71">
            <v>1077.787432489853</v>
          </cell>
          <cell r="Z71">
            <v>287.33828548683408</v>
          </cell>
          <cell r="AA71">
            <v>261.78899999999999</v>
          </cell>
          <cell r="AB71">
            <v>68.605445232163078</v>
          </cell>
          <cell r="AC71">
            <v>406.00240000000002</v>
          </cell>
          <cell r="AD71">
            <v>317.49846954891029</v>
          </cell>
          <cell r="AE71">
            <v>258.54900948924035</v>
          </cell>
          <cell r="AF71">
            <v>77.183876841094573</v>
          </cell>
          <cell r="AK71">
            <v>44.432436137798518</v>
          </cell>
          <cell r="AL71">
            <v>120.6741</v>
          </cell>
          <cell r="AR71">
            <v>61.211219062229567</v>
          </cell>
          <cell r="AU71">
            <v>35.9467</v>
          </cell>
          <cell r="AW71">
            <v>82.278999999999996</v>
          </cell>
          <cell r="AX71">
            <v>29.6447</v>
          </cell>
          <cell r="DO71">
            <v>71</v>
          </cell>
        </row>
        <row r="72">
          <cell r="A72" t="str">
            <v>Charlotte-Gastonia-Rock Hill, NC-SC Metro Area</v>
          </cell>
          <cell r="B72">
            <v>2964.1662666621583</v>
          </cell>
          <cell r="C72">
            <v>3887.8924668594641</v>
          </cell>
          <cell r="D72">
            <v>3571.8042984725826</v>
          </cell>
          <cell r="E72">
            <v>2618.1691222895984</v>
          </cell>
          <cell r="F72">
            <v>3054.2998356868261</v>
          </cell>
          <cell r="G72">
            <v>3698.2471504839609</v>
          </cell>
          <cell r="H72">
            <v>3016.2630102796375</v>
          </cell>
          <cell r="I72">
            <v>2744.759714051534</v>
          </cell>
          <cell r="J72">
            <v>2063.3658758290662</v>
          </cell>
          <cell r="K72">
            <v>1486.7133964960617</v>
          </cell>
          <cell r="L72">
            <v>1557.8260175079465</v>
          </cell>
          <cell r="M72">
            <v>1238.0119516014595</v>
          </cell>
          <cell r="N72">
            <v>841.30734199079143</v>
          </cell>
          <cell r="O72">
            <v>704.57670727425216</v>
          </cell>
          <cell r="P72">
            <v>756.80463940696177</v>
          </cell>
          <cell r="Q72">
            <v>681.02599562648925</v>
          </cell>
          <cell r="R72">
            <v>871.52272519679002</v>
          </cell>
          <cell r="S72">
            <v>693.74173550152113</v>
          </cell>
          <cell r="T72">
            <v>1542.143515312556</v>
          </cell>
          <cell r="U72">
            <v>1266.7022973706119</v>
          </cell>
          <cell r="V72">
            <v>1383.822402875353</v>
          </cell>
          <cell r="W72">
            <v>1272.6389697498123</v>
          </cell>
          <cell r="X72">
            <v>1605.0644343252409</v>
          </cell>
          <cell r="Y72">
            <v>1203.745786418652</v>
          </cell>
          <cell r="Z72">
            <v>352.28150051104171</v>
          </cell>
          <cell r="AA72">
            <v>237.41899909135896</v>
          </cell>
          <cell r="AB72">
            <v>110.45014870498562</v>
          </cell>
          <cell r="AC72">
            <v>327.31107635078968</v>
          </cell>
          <cell r="AD72">
            <v>172.31043884346741</v>
          </cell>
          <cell r="AG72">
            <v>75.602795194805196</v>
          </cell>
          <cell r="AH72">
            <v>245.87233844181461</v>
          </cell>
          <cell r="AI72">
            <v>312.77379999999999</v>
          </cell>
          <cell r="AK72">
            <v>31.415400000000002</v>
          </cell>
          <cell r="AM72">
            <v>52.340600000000002</v>
          </cell>
          <cell r="AQ72">
            <v>24.5107</v>
          </cell>
          <cell r="AU72">
            <v>77.953800000000001</v>
          </cell>
          <cell r="AV72">
            <v>169.5702</v>
          </cell>
          <cell r="AZ72">
            <v>28.067699999999999</v>
          </cell>
          <cell r="BA72">
            <v>33.575099999999999</v>
          </cell>
          <cell r="DO72">
            <v>72</v>
          </cell>
        </row>
        <row r="73">
          <cell r="A73" t="str">
            <v>Charlottesville, VA Metro Area</v>
          </cell>
          <cell r="B73">
            <v>4062.6669880059053</v>
          </cell>
          <cell r="C73">
            <v>7159.7292679063594</v>
          </cell>
          <cell r="D73">
            <v>1806.7932242624445</v>
          </cell>
          <cell r="E73">
            <v>2616.7162073998893</v>
          </cell>
          <cell r="G73">
            <v>136.22499999999999</v>
          </cell>
          <cell r="H73">
            <v>298.541870866826</v>
          </cell>
          <cell r="I73">
            <v>41.544499999999999</v>
          </cell>
          <cell r="K73">
            <v>151.25970000000001</v>
          </cell>
          <cell r="M73">
            <v>469.30096668153823</v>
          </cell>
          <cell r="N73">
            <v>192.51276311650378</v>
          </cell>
          <cell r="O73">
            <v>43.446899999999999</v>
          </cell>
          <cell r="P73">
            <v>211.3639</v>
          </cell>
          <cell r="Q73">
            <v>38.363405062827859</v>
          </cell>
          <cell r="R73">
            <v>73.289500000000004</v>
          </cell>
          <cell r="U73">
            <v>57.056100000000001</v>
          </cell>
          <cell r="V73">
            <v>36.089799999999997</v>
          </cell>
          <cell r="W73">
            <v>51.697000000000003</v>
          </cell>
          <cell r="AD73">
            <v>27.1601</v>
          </cell>
          <cell r="AG73">
            <v>24.104099999999999</v>
          </cell>
          <cell r="DO73">
            <v>73</v>
          </cell>
        </row>
        <row r="74">
          <cell r="A74" t="str">
            <v>Chattanooga, TN-GA Metro Area</v>
          </cell>
          <cell r="B74">
            <v>2664.9660352637675</v>
          </cell>
          <cell r="C74">
            <v>2874.9566014784782</v>
          </cell>
          <cell r="D74">
            <v>2317.0226257404033</v>
          </cell>
          <cell r="E74">
            <v>2036.5893183164774</v>
          </cell>
          <cell r="F74">
            <v>2249.3938459423002</v>
          </cell>
          <cell r="G74">
            <v>1584.8860950787046</v>
          </cell>
          <cell r="H74">
            <v>1422.8237111902167</v>
          </cell>
          <cell r="I74">
            <v>1284.9634221278393</v>
          </cell>
          <cell r="J74">
            <v>737.23945198168769</v>
          </cell>
          <cell r="K74">
            <v>860.48835279151626</v>
          </cell>
          <cell r="L74">
            <v>975.52022821270327</v>
          </cell>
          <cell r="M74">
            <v>899.03461720688472</v>
          </cell>
          <cell r="N74">
            <v>526.5658551547624</v>
          </cell>
          <cell r="O74">
            <v>293.13306511474451</v>
          </cell>
          <cell r="P74">
            <v>611.87708018957346</v>
          </cell>
          <cell r="Q74">
            <v>460.67880509052884</v>
          </cell>
          <cell r="R74">
            <v>240.44560405094293</v>
          </cell>
          <cell r="S74">
            <v>122.00747185787814</v>
          </cell>
          <cell r="T74">
            <v>50.288600000000002</v>
          </cell>
          <cell r="U74">
            <v>81.391124681285049</v>
          </cell>
          <cell r="V74">
            <v>23.9495</v>
          </cell>
          <cell r="W74">
            <v>135.569900016714</v>
          </cell>
          <cell r="X74">
            <v>184.7264909498208</v>
          </cell>
          <cell r="Y74">
            <v>508.99455269685609</v>
          </cell>
          <cell r="AA74">
            <v>100.4712</v>
          </cell>
          <cell r="AC74">
            <v>71.0244</v>
          </cell>
          <cell r="AD74">
            <v>19.130532878935409</v>
          </cell>
          <cell r="DO74">
            <v>74</v>
          </cell>
        </row>
        <row r="75">
          <cell r="A75" t="str">
            <v>Cheyenne, WY Metro Area</v>
          </cell>
          <cell r="B75">
            <v>2972.2690792910207</v>
          </cell>
          <cell r="C75">
            <v>2869.4218644165694</v>
          </cell>
          <cell r="D75">
            <v>1273.4208817812721</v>
          </cell>
          <cell r="E75">
            <v>1962.012518778962</v>
          </cell>
          <cell r="F75">
            <v>645.49959999999999</v>
          </cell>
          <cell r="I75">
            <v>4.9058999999999999</v>
          </cell>
          <cell r="L75">
            <v>3.2158000000000002</v>
          </cell>
          <cell r="X75">
            <v>4.8806000000000003</v>
          </cell>
          <cell r="DO75">
            <v>75</v>
          </cell>
        </row>
        <row r="76">
          <cell r="A76" t="str">
            <v>Chicago-Joliet-Naperville, IL-IN-WI Metro Area</v>
          </cell>
          <cell r="B76">
            <v>18934.510112351531</v>
          </cell>
          <cell r="C76">
            <v>35752.339893373908</v>
          </cell>
          <cell r="D76">
            <v>24271.926560888493</v>
          </cell>
          <cell r="E76">
            <v>25265.707727672314</v>
          </cell>
          <cell r="F76">
            <v>25532.430764318222</v>
          </cell>
          <cell r="G76">
            <v>26453.295294055937</v>
          </cell>
          <cell r="H76">
            <v>23560.956487349489</v>
          </cell>
          <cell r="I76">
            <v>24042.806359941042</v>
          </cell>
          <cell r="J76">
            <v>18860.513125693873</v>
          </cell>
          <cell r="K76">
            <v>15347.122621471302</v>
          </cell>
          <cell r="L76">
            <v>10023.021766656251</v>
          </cell>
          <cell r="M76">
            <v>8124.584148382668</v>
          </cell>
          <cell r="N76">
            <v>8493.2571638215795</v>
          </cell>
          <cell r="O76">
            <v>7016.1934107959032</v>
          </cell>
          <cell r="P76">
            <v>5565.4095049503921</v>
          </cell>
          <cell r="Q76">
            <v>5247.7925954641505</v>
          </cell>
          <cell r="R76">
            <v>4766.6819978414032</v>
          </cell>
          <cell r="S76">
            <v>4966.1884677676844</v>
          </cell>
          <cell r="T76">
            <v>4440.3999568065801</v>
          </cell>
          <cell r="U76">
            <v>4800.7613763880381</v>
          </cell>
          <cell r="V76">
            <v>4668.9070147158809</v>
          </cell>
          <cell r="W76">
            <v>3161.7649416677032</v>
          </cell>
          <cell r="X76">
            <v>4089.3140372723651</v>
          </cell>
          <cell r="Y76">
            <v>4165.1879223904862</v>
          </cell>
          <cell r="Z76">
            <v>3835.8573565029587</v>
          </cell>
          <cell r="AA76">
            <v>3780.4967063454646</v>
          </cell>
          <cell r="AB76">
            <v>4490.7881915535763</v>
          </cell>
          <cell r="AC76">
            <v>3605.1897486322141</v>
          </cell>
          <cell r="AD76">
            <v>3319.811790891742</v>
          </cell>
          <cell r="AE76">
            <v>2936.209526990026</v>
          </cell>
          <cell r="AF76">
            <v>2229.96180150799</v>
          </cell>
          <cell r="AG76">
            <v>2678.4097790748524</v>
          </cell>
          <cell r="AH76">
            <v>2695.835429984169</v>
          </cell>
          <cell r="AI76">
            <v>3372.7127111864752</v>
          </cell>
          <cell r="AJ76">
            <v>4709.083866900869</v>
          </cell>
          <cell r="AK76">
            <v>4710.2868650348837</v>
          </cell>
          <cell r="AL76">
            <v>3150.4838761812607</v>
          </cell>
          <cell r="AM76">
            <v>2476.8033831728167</v>
          </cell>
          <cell r="AN76">
            <v>2180.8071403838435</v>
          </cell>
          <cell r="AO76">
            <v>1682.5925153377796</v>
          </cell>
          <cell r="AP76">
            <v>1743.0615718822978</v>
          </cell>
          <cell r="AQ76">
            <v>2842.431001634629</v>
          </cell>
          <cell r="AR76">
            <v>1884.4855726172091</v>
          </cell>
          <cell r="AS76">
            <v>1717.2511462830926</v>
          </cell>
          <cell r="AT76">
            <v>1427.6411491905224</v>
          </cell>
          <cell r="AU76">
            <v>654.14936815512294</v>
          </cell>
          <cell r="AV76">
            <v>881.00114711273568</v>
          </cell>
          <cell r="AW76">
            <v>1811.7348672376243</v>
          </cell>
          <cell r="AX76">
            <v>3403.347431854877</v>
          </cell>
          <cell r="AY76">
            <v>2687.13476159736</v>
          </cell>
          <cell r="AZ76">
            <v>3521.0877408003093</v>
          </cell>
          <cell r="BA76">
            <v>1742.337462734961</v>
          </cell>
          <cell r="BB76">
            <v>1136.1273886090203</v>
          </cell>
          <cell r="BC76">
            <v>488.05736602331496</v>
          </cell>
          <cell r="BD76">
            <v>996.63021761750986</v>
          </cell>
          <cell r="BE76">
            <v>861.72685437971325</v>
          </cell>
          <cell r="BF76">
            <v>263.56770860400945</v>
          </cell>
          <cell r="BG76">
            <v>2448.7086301574718</v>
          </cell>
          <cell r="BH76">
            <v>5264.8736037270501</v>
          </cell>
          <cell r="BI76">
            <v>1926.6723597724922</v>
          </cell>
          <cell r="BJ76">
            <v>55.790999999999997</v>
          </cell>
          <cell r="BK76">
            <v>20.182700000000001</v>
          </cell>
          <cell r="BL76">
            <v>278.19373314978696</v>
          </cell>
          <cell r="BM76">
            <v>95.314292030534332</v>
          </cell>
          <cell r="BS76">
            <v>70.236900000000006</v>
          </cell>
          <cell r="BT76">
            <v>47.2455</v>
          </cell>
          <cell r="BX76">
            <v>30.155100000000001</v>
          </cell>
          <cell r="BZ76">
            <v>36.062199999999997</v>
          </cell>
          <cell r="CA76">
            <v>32.000100000000003</v>
          </cell>
          <cell r="DO76">
            <v>76</v>
          </cell>
        </row>
        <row r="77">
          <cell r="A77" t="str">
            <v>Chico, CA Metro Area</v>
          </cell>
          <cell r="B77">
            <v>3957.2414874571959</v>
          </cell>
          <cell r="C77">
            <v>4865.3407468248106</v>
          </cell>
          <cell r="D77">
            <v>3851.1578162280393</v>
          </cell>
          <cell r="E77">
            <v>2049.2234816425121</v>
          </cell>
          <cell r="F77">
            <v>457.21970000000005</v>
          </cell>
          <cell r="G77">
            <v>40.486153124698156</v>
          </cell>
          <cell r="J77">
            <v>19.095800000000001</v>
          </cell>
          <cell r="L77">
            <v>98.486099999999993</v>
          </cell>
          <cell r="M77">
            <v>1299.0255999999999</v>
          </cell>
          <cell r="N77">
            <v>1188.1584</v>
          </cell>
          <cell r="O77">
            <v>831.99669520288091</v>
          </cell>
          <cell r="P77">
            <v>1343.3562640674047</v>
          </cell>
          <cell r="R77">
            <v>23.887999999999998</v>
          </cell>
          <cell r="U77">
            <v>468.08648621780389</v>
          </cell>
          <cell r="V77">
            <v>96.8904</v>
          </cell>
          <cell r="W77">
            <v>2665.6154999999999</v>
          </cell>
          <cell r="X77">
            <v>1380.0488000685577</v>
          </cell>
          <cell r="Y77">
            <v>701.99527330192382</v>
          </cell>
          <cell r="Z77">
            <v>182.38169462637501</v>
          </cell>
          <cell r="AA77">
            <v>248.55223000946299</v>
          </cell>
          <cell r="AB77">
            <v>94.438500000000005</v>
          </cell>
          <cell r="AC77">
            <v>196.62260000000001</v>
          </cell>
          <cell r="AD77">
            <v>33.046900000000001</v>
          </cell>
          <cell r="DO77">
            <v>77</v>
          </cell>
        </row>
        <row r="78">
          <cell r="A78" t="str">
            <v>Cincinnati-Middletown, OH-KY-IN Metro Area</v>
          </cell>
          <cell r="B78">
            <v>11219.180274023154</v>
          </cell>
          <cell r="C78">
            <v>8832.0233067172285</v>
          </cell>
          <cell r="D78">
            <v>6491.2465785652021</v>
          </cell>
          <cell r="E78">
            <v>5293.7895499015603</v>
          </cell>
          <cell r="F78">
            <v>4805.2190971468572</v>
          </cell>
          <cell r="G78">
            <v>4699.240302475122</v>
          </cell>
          <cell r="H78">
            <v>3796.8128248140033</v>
          </cell>
          <cell r="I78">
            <v>3590.7329887066217</v>
          </cell>
          <cell r="J78">
            <v>3013.6111882225505</v>
          </cell>
          <cell r="K78">
            <v>3165.8818561299672</v>
          </cell>
          <cell r="L78">
            <v>2730.1938871252532</v>
          </cell>
          <cell r="M78">
            <v>1876.0126206102796</v>
          </cell>
          <cell r="N78">
            <v>1623.4062898656671</v>
          </cell>
          <cell r="O78">
            <v>1841.4251245685869</v>
          </cell>
          <cell r="P78">
            <v>1280.9013398855207</v>
          </cell>
          <cell r="Q78">
            <v>1620.0346814139471</v>
          </cell>
          <cell r="R78">
            <v>1530.088160648839</v>
          </cell>
          <cell r="S78">
            <v>1703.5619735591611</v>
          </cell>
          <cell r="T78">
            <v>1525.972589083415</v>
          </cell>
          <cell r="U78">
            <v>1802.8240139099228</v>
          </cell>
          <cell r="V78">
            <v>1514.300986167332</v>
          </cell>
          <cell r="W78">
            <v>2059.4696739771889</v>
          </cell>
          <cell r="X78">
            <v>1897.841649389535</v>
          </cell>
          <cell r="Y78">
            <v>195.28454541445387</v>
          </cell>
          <cell r="Z78">
            <v>356.42457016766843</v>
          </cell>
          <cell r="AA78">
            <v>480.20888435752016</v>
          </cell>
          <cell r="AB78">
            <v>752.79797880925514</v>
          </cell>
          <cell r="AC78">
            <v>265.05300852566035</v>
          </cell>
          <cell r="AD78">
            <v>2816.6723200592883</v>
          </cell>
          <cell r="AE78">
            <v>1722.1485128504905</v>
          </cell>
          <cell r="AF78">
            <v>4483.0277252164269</v>
          </cell>
          <cell r="AG78">
            <v>191.78779901691246</v>
          </cell>
          <cell r="AH78">
            <v>157.14717685234686</v>
          </cell>
          <cell r="AI78">
            <v>1945.5453386694387</v>
          </cell>
          <cell r="AJ78">
            <v>1058.5415657104695</v>
          </cell>
          <cell r="AK78">
            <v>1676.028233118655</v>
          </cell>
          <cell r="AL78">
            <v>215.0289988246189</v>
          </cell>
          <cell r="AM78">
            <v>136.71982047548838</v>
          </cell>
          <cell r="AO78">
            <v>37.2759</v>
          </cell>
          <cell r="AP78">
            <v>48.1295</v>
          </cell>
          <cell r="AQ78">
            <v>70.499399999999994</v>
          </cell>
          <cell r="AR78">
            <v>50.098300000000002</v>
          </cell>
          <cell r="AS78">
            <v>94.555099999999996</v>
          </cell>
          <cell r="AT78">
            <v>55.871299999999991</v>
          </cell>
          <cell r="AY78">
            <v>65.809399999999997</v>
          </cell>
          <cell r="DO78">
            <v>78</v>
          </cell>
        </row>
        <row r="79">
          <cell r="A79" t="str">
            <v>Clarksville, TN-KY Metro Area</v>
          </cell>
          <cell r="B79">
            <v>1803.9423346889052</v>
          </cell>
          <cell r="C79">
            <v>1423.2276155447053</v>
          </cell>
          <cell r="D79">
            <v>810.23155844274811</v>
          </cell>
          <cell r="E79">
            <v>1465.0016831788287</v>
          </cell>
          <cell r="F79">
            <v>1498.2110794943246</v>
          </cell>
          <cell r="G79">
            <v>1191.8748044455799</v>
          </cell>
          <cell r="H79">
            <v>535.51497566830335</v>
          </cell>
          <cell r="I79">
            <v>757.67098957831843</v>
          </cell>
          <cell r="J79">
            <v>139.88598501306456</v>
          </cell>
          <cell r="K79">
            <v>613.41679999999997</v>
          </cell>
          <cell r="L79">
            <v>1067.716191565913</v>
          </cell>
          <cell r="M79">
            <v>7936.7365</v>
          </cell>
          <cell r="O79">
            <v>3.5017</v>
          </cell>
          <cell r="R79">
            <v>31.321000000000002</v>
          </cell>
          <cell r="T79">
            <v>23.876000000000001</v>
          </cell>
          <cell r="X79">
            <v>450.93012875881089</v>
          </cell>
          <cell r="Y79">
            <v>812.26694151025754</v>
          </cell>
          <cell r="Z79">
            <v>2311.6421615868026</v>
          </cell>
          <cell r="AA79">
            <v>1497.0383241211728</v>
          </cell>
          <cell r="AB79">
            <v>35.657600000000002</v>
          </cell>
          <cell r="AC79">
            <v>57.335899999999995</v>
          </cell>
          <cell r="AE79">
            <v>39.307299999999998</v>
          </cell>
          <cell r="AH79">
            <v>53.621200000000002</v>
          </cell>
          <cell r="AI79">
            <v>0</v>
          </cell>
          <cell r="AJ79">
            <v>25.9268</v>
          </cell>
          <cell r="AK79">
            <v>36.996200000000002</v>
          </cell>
          <cell r="AM79">
            <v>16.124099999999999</v>
          </cell>
          <cell r="AN79">
            <v>31.751100000000001</v>
          </cell>
          <cell r="AQ79">
            <v>1.95E-2</v>
          </cell>
          <cell r="DO79">
            <v>79</v>
          </cell>
        </row>
        <row r="80">
          <cell r="A80" t="str">
            <v>Cleveland, TN Metro Area</v>
          </cell>
          <cell r="B80">
            <v>3462.7293218422892</v>
          </cell>
          <cell r="C80">
            <v>1466.4179287540942</v>
          </cell>
          <cell r="D80">
            <v>1384.3473630730423</v>
          </cell>
          <cell r="E80">
            <v>492.94260000000008</v>
          </cell>
          <cell r="G80">
            <v>195.43905220622935</v>
          </cell>
          <cell r="H80">
            <v>175.63354184782611</v>
          </cell>
          <cell r="J80">
            <v>102.5639</v>
          </cell>
          <cell r="L80">
            <v>35.107999999999997</v>
          </cell>
          <cell r="O80">
            <v>47.888599999999997</v>
          </cell>
          <cell r="S80">
            <v>26.742699999999999</v>
          </cell>
          <cell r="AE80">
            <v>38.5075</v>
          </cell>
          <cell r="AF80">
            <v>27.896799999999999</v>
          </cell>
          <cell r="DO80">
            <v>80</v>
          </cell>
        </row>
        <row r="81">
          <cell r="A81" t="str">
            <v>Cleveland-Elyria-Mentor, OH Metro Area</v>
          </cell>
          <cell r="B81">
            <v>2198.8482298431809</v>
          </cell>
          <cell r="C81">
            <v>6021.0746702237293</v>
          </cell>
          <cell r="D81">
            <v>8205.196227047838</v>
          </cell>
          <cell r="E81">
            <v>9584.5635381768861</v>
          </cell>
          <cell r="F81">
            <v>10246.323326186277</v>
          </cell>
          <cell r="G81">
            <v>9037.5729080882429</v>
          </cell>
          <cell r="H81">
            <v>7911.9780311533195</v>
          </cell>
          <cell r="I81">
            <v>6408.8783547629046</v>
          </cell>
          <cell r="J81">
            <v>5248.8913045895933</v>
          </cell>
          <cell r="K81">
            <v>4520.1970294031862</v>
          </cell>
          <cell r="L81">
            <v>3893.2305730996345</v>
          </cell>
          <cell r="M81">
            <v>3220.0445319683654</v>
          </cell>
          <cell r="N81">
            <v>3050.4411027604424</v>
          </cell>
          <cell r="O81">
            <v>2544.5586027192153</v>
          </cell>
          <cell r="P81">
            <v>2305.8120748629676</v>
          </cell>
          <cell r="Q81">
            <v>2450.6698355651774</v>
          </cell>
          <cell r="R81">
            <v>2302.0720328094367</v>
          </cell>
          <cell r="S81">
            <v>2174.7380264380158</v>
          </cell>
          <cell r="T81">
            <v>1220.6291796776609</v>
          </cell>
          <cell r="U81">
            <v>1604.2592194527185</v>
          </cell>
          <cell r="V81">
            <v>1796.6668037476968</v>
          </cell>
          <cell r="W81">
            <v>2944.3048938887905</v>
          </cell>
          <cell r="X81">
            <v>3723.8477014117548</v>
          </cell>
          <cell r="Y81">
            <v>2229.7413004359173</v>
          </cell>
          <cell r="Z81">
            <v>1951.8446262687241</v>
          </cell>
          <cell r="AA81">
            <v>2510.5718380294979</v>
          </cell>
          <cell r="AB81">
            <v>2811.997809270888</v>
          </cell>
          <cell r="AC81">
            <v>2760.0105651391723</v>
          </cell>
          <cell r="AD81">
            <v>714.83969608016218</v>
          </cell>
          <cell r="AE81">
            <v>519.1333624480875</v>
          </cell>
          <cell r="AF81">
            <v>430.34889654716989</v>
          </cell>
          <cell r="AG81">
            <v>602.90393255813945</v>
          </cell>
          <cell r="AH81">
            <v>792.27668445008203</v>
          </cell>
          <cell r="AI81">
            <v>313.21644848265896</v>
          </cell>
          <cell r="AJ81">
            <v>353.96906776577799</v>
          </cell>
          <cell r="AK81">
            <v>217.24364559303592</v>
          </cell>
          <cell r="AL81">
            <v>546.92392847518533</v>
          </cell>
          <cell r="AM81">
            <v>253.68431018313311</v>
          </cell>
          <cell r="AN81">
            <v>559.66925378344854</v>
          </cell>
          <cell r="AO81">
            <v>1235.5745776593976</v>
          </cell>
          <cell r="AQ81">
            <v>621.85640000000001</v>
          </cell>
          <cell r="DO81">
            <v>81</v>
          </cell>
        </row>
        <row r="82">
          <cell r="A82" t="str">
            <v>Coeur d'Alene, ID Metro Area</v>
          </cell>
          <cell r="B82">
            <v>3747.4094078909616</v>
          </cell>
          <cell r="C82">
            <v>3802.9807000000001</v>
          </cell>
          <cell r="D82">
            <v>1877.1410234948603</v>
          </cell>
          <cell r="E82">
            <v>1204.9494</v>
          </cell>
          <cell r="F82">
            <v>415.86679932115322</v>
          </cell>
          <cell r="G82">
            <v>869.79374465226556</v>
          </cell>
          <cell r="H82">
            <v>2137.2869128697125</v>
          </cell>
          <cell r="I82">
            <v>1314.4398000000001</v>
          </cell>
          <cell r="K82">
            <v>1068.1312</v>
          </cell>
          <cell r="L82">
            <v>102.44012147947066</v>
          </cell>
          <cell r="M82">
            <v>69.782764790764787</v>
          </cell>
          <cell r="P82">
            <v>46.372500000000002</v>
          </cell>
          <cell r="R82">
            <v>13.2417</v>
          </cell>
          <cell r="T82">
            <v>54.980499999999999</v>
          </cell>
          <cell r="DO82">
            <v>82</v>
          </cell>
        </row>
        <row r="83">
          <cell r="A83" t="str">
            <v>College Station-Bryan, TX Metro Area</v>
          </cell>
          <cell r="B83">
            <v>7022.820898812497</v>
          </cell>
          <cell r="C83">
            <v>4593.7501349555523</v>
          </cell>
          <cell r="D83">
            <v>2636.6387709998853</v>
          </cell>
          <cell r="E83">
            <v>2675.3410785037572</v>
          </cell>
          <cell r="F83">
            <v>2384.1391971568628</v>
          </cell>
          <cell r="G83">
            <v>2205.2404278688523</v>
          </cell>
          <cell r="H83">
            <v>927.06590631786764</v>
          </cell>
          <cell r="I83">
            <v>56.618800809962529</v>
          </cell>
          <cell r="K83">
            <v>25.533165088757396</v>
          </cell>
          <cell r="P83">
            <v>15.104200000000001</v>
          </cell>
          <cell r="S83">
            <v>14.458800000000002</v>
          </cell>
          <cell r="T83">
            <v>11.832440173410406</v>
          </cell>
          <cell r="Y83">
            <v>158.02624050368019</v>
          </cell>
          <cell r="AC83">
            <v>16.703199999999999</v>
          </cell>
          <cell r="AG83">
            <v>11.930099999999999</v>
          </cell>
          <cell r="AH83">
            <v>18.407800000000002</v>
          </cell>
          <cell r="AQ83">
            <v>12.999000000000001</v>
          </cell>
          <cell r="DO83">
            <v>83</v>
          </cell>
        </row>
        <row r="84">
          <cell r="A84" t="str">
            <v>Colorado Springs, CO Metro Area</v>
          </cell>
          <cell r="B84">
            <v>4322.4844268000979</v>
          </cell>
          <cell r="C84">
            <v>3932.8829101064907</v>
          </cell>
          <cell r="D84">
            <v>4185.5400282911323</v>
          </cell>
          <cell r="E84">
            <v>4295.157882085955</v>
          </cell>
          <cell r="F84">
            <v>3794.967181129653</v>
          </cell>
          <cell r="G84">
            <v>4198.2546668041668</v>
          </cell>
          <cell r="H84">
            <v>3927.0371664712911</v>
          </cell>
          <cell r="I84">
            <v>2739.3206649757967</v>
          </cell>
          <cell r="J84">
            <v>2888.2964985098292</v>
          </cell>
          <cell r="K84">
            <v>3658.8897871788813</v>
          </cell>
          <cell r="L84">
            <v>601.76689947203749</v>
          </cell>
          <cell r="M84">
            <v>1215.9718024371068</v>
          </cell>
          <cell r="N84">
            <v>163.325443054869</v>
          </cell>
          <cell r="O84">
            <v>96.630487440458836</v>
          </cell>
          <cell r="P84">
            <v>547.2435919465081</v>
          </cell>
          <cell r="Q84">
            <v>95.587113049502449</v>
          </cell>
          <cell r="R84">
            <v>246.48753183163436</v>
          </cell>
          <cell r="S84">
            <v>515.23689999999999</v>
          </cell>
          <cell r="T84">
            <v>54.509316381443298</v>
          </cell>
          <cell r="U84">
            <v>523.50451921961508</v>
          </cell>
          <cell r="W84">
            <v>23.018093133769877</v>
          </cell>
          <cell r="X84">
            <v>30.308499999999999</v>
          </cell>
          <cell r="AC84">
            <v>18.521799999999999</v>
          </cell>
          <cell r="AE84">
            <v>6.0511999999999997</v>
          </cell>
          <cell r="DO84">
            <v>84</v>
          </cell>
        </row>
        <row r="85">
          <cell r="A85" t="str">
            <v>Columbia, MO Metro Area</v>
          </cell>
          <cell r="B85">
            <v>6528.5156461444949</v>
          </cell>
          <cell r="C85">
            <v>2656.7798997651403</v>
          </cell>
          <cell r="D85">
            <v>1509.8668402523163</v>
          </cell>
          <cell r="E85">
            <v>1105.3056215978595</v>
          </cell>
          <cell r="F85">
            <v>443.58212189105359</v>
          </cell>
          <cell r="H85">
            <v>68.277526351813833</v>
          </cell>
          <cell r="I85">
            <v>50.993899999999996</v>
          </cell>
          <cell r="N85">
            <v>48.493301387925051</v>
          </cell>
          <cell r="O85">
            <v>56.655099999999997</v>
          </cell>
          <cell r="V85">
            <v>153.346</v>
          </cell>
          <cell r="W85">
            <v>15.995200000000001</v>
          </cell>
          <cell r="Y85">
            <v>52.711500000000001</v>
          </cell>
          <cell r="AD85">
            <v>16.781300000000002</v>
          </cell>
          <cell r="DO85">
            <v>85</v>
          </cell>
        </row>
        <row r="86">
          <cell r="A86" t="str">
            <v>Columbia, SC Metro Area</v>
          </cell>
          <cell r="B86">
            <v>2796.9317284745293</v>
          </cell>
          <cell r="C86">
            <v>5332.6109510823435</v>
          </cell>
          <cell r="D86">
            <v>3022.1492119462964</v>
          </cell>
          <cell r="E86">
            <v>2435.9592582511573</v>
          </cell>
          <cell r="F86">
            <v>2260.6495627971408</v>
          </cell>
          <cell r="G86">
            <v>1818.9880344100575</v>
          </cell>
          <cell r="H86">
            <v>1948.1865466424399</v>
          </cell>
          <cell r="I86">
            <v>1675.9408167596955</v>
          </cell>
          <cell r="J86">
            <v>1027.9971818446729</v>
          </cell>
          <cell r="K86">
            <v>953.42813601576722</v>
          </cell>
          <cell r="L86">
            <v>1298.6635668759147</v>
          </cell>
          <cell r="M86">
            <v>1128.5558375652085</v>
          </cell>
          <cell r="N86">
            <v>888.17232647391086</v>
          </cell>
          <cell r="O86">
            <v>791.77453115647199</v>
          </cell>
          <cell r="P86">
            <v>123.23375602958421</v>
          </cell>
          <cell r="Q86">
            <v>227.6616504754777</v>
          </cell>
          <cell r="R86">
            <v>213.06621462045396</v>
          </cell>
          <cell r="S86">
            <v>192.12655931993521</v>
          </cell>
          <cell r="T86">
            <v>273.38101216848673</v>
          </cell>
          <cell r="U86">
            <v>125.53937275958364</v>
          </cell>
          <cell r="V86">
            <v>92.889728095376569</v>
          </cell>
          <cell r="W86">
            <v>96.666200443105282</v>
          </cell>
          <cell r="X86">
            <v>137.04262650689159</v>
          </cell>
          <cell r="Y86">
            <v>92.491500888099452</v>
          </cell>
          <cell r="Z86">
            <v>61.403399999999998</v>
          </cell>
          <cell r="AA86">
            <v>297.53075271181746</v>
          </cell>
          <cell r="AB86">
            <v>72.328674341821312</v>
          </cell>
          <cell r="AD86">
            <v>75.161900000000003</v>
          </cell>
          <cell r="AE86">
            <v>393.31840631019259</v>
          </cell>
          <cell r="AF86">
            <v>124.75016318958819</v>
          </cell>
          <cell r="AG86">
            <v>15.979100000000003</v>
          </cell>
          <cell r="AH86">
            <v>18.697600000000001</v>
          </cell>
          <cell r="AI86">
            <v>233.49318868987973</v>
          </cell>
          <cell r="AK86">
            <v>19.917300000000001</v>
          </cell>
          <cell r="AL86">
            <v>23.4057</v>
          </cell>
          <cell r="AM86">
            <v>37.839372872707209</v>
          </cell>
          <cell r="AO86">
            <v>24.498799999999999</v>
          </cell>
          <cell r="AQ86">
            <v>68.003600000000006</v>
          </cell>
          <cell r="AT86">
            <v>43.767400000000002</v>
          </cell>
          <cell r="AV86">
            <v>25.4754</v>
          </cell>
          <cell r="AW86">
            <v>23.943899999999999</v>
          </cell>
          <cell r="DO86">
            <v>86</v>
          </cell>
        </row>
        <row r="87">
          <cell r="A87" t="str">
            <v>Columbus, GA-AL Metro Area</v>
          </cell>
          <cell r="B87">
            <v>1987.5782969392753</v>
          </cell>
          <cell r="C87">
            <v>3253.9634552371895</v>
          </cell>
          <cell r="D87">
            <v>2615.8446448269642</v>
          </cell>
          <cell r="E87">
            <v>2625.2537373517266</v>
          </cell>
          <cell r="F87">
            <v>2935.2110955595426</v>
          </cell>
          <cell r="G87">
            <v>2085.4449707034928</v>
          </cell>
          <cell r="H87">
            <v>1191.0449561010009</v>
          </cell>
          <cell r="I87">
            <v>1408.9602741954886</v>
          </cell>
          <cell r="J87">
            <v>1865.4747830126655</v>
          </cell>
          <cell r="L87">
            <v>59.0137</v>
          </cell>
          <cell r="M87">
            <v>90.140199999999993</v>
          </cell>
          <cell r="N87">
            <v>39.190800000000003</v>
          </cell>
          <cell r="O87">
            <v>102.4165</v>
          </cell>
          <cell r="P87">
            <v>46.703899999999997</v>
          </cell>
          <cell r="R87">
            <v>17.021363401815574</v>
          </cell>
          <cell r="S87">
            <v>50.628828640064064</v>
          </cell>
          <cell r="AA87">
            <v>37.277900000000002</v>
          </cell>
          <cell r="AB87">
            <v>32.217669890109889</v>
          </cell>
          <cell r="AC87">
            <v>18.291899999999995</v>
          </cell>
          <cell r="AE87">
            <v>20.904900000000001</v>
          </cell>
          <cell r="DO87">
            <v>87</v>
          </cell>
        </row>
        <row r="88">
          <cell r="A88" t="str">
            <v>Columbus, IN Metro Area</v>
          </cell>
          <cell r="B88">
            <v>2478.6037000000001</v>
          </cell>
          <cell r="C88">
            <v>1987.6402480465074</v>
          </cell>
          <cell r="E88">
            <v>1789.9572257146735</v>
          </cell>
          <cell r="F88">
            <v>93.163300000000007</v>
          </cell>
          <cell r="G88">
            <v>83.750641972901846</v>
          </cell>
          <cell r="H88">
            <v>110.9208</v>
          </cell>
          <cell r="I88">
            <v>66.919700000000006</v>
          </cell>
          <cell r="L88">
            <v>85.764799999999994</v>
          </cell>
          <cell r="DO88">
            <v>88</v>
          </cell>
        </row>
        <row r="89">
          <cell r="A89" t="str">
            <v>Columbus, OH Metro Area</v>
          </cell>
          <cell r="B89">
            <v>2256.293693502922</v>
          </cell>
          <cell r="C89">
            <v>7341.8381983228655</v>
          </cell>
          <cell r="D89">
            <v>9959.4095879552551</v>
          </cell>
          <cell r="E89">
            <v>6917.0984582141427</v>
          </cell>
          <cell r="F89">
            <v>5161.7625186454707</v>
          </cell>
          <cell r="G89">
            <v>4129.3336596056988</v>
          </cell>
          <cell r="H89">
            <v>4507.2436849070273</v>
          </cell>
          <cell r="I89">
            <v>4179.3243705971299</v>
          </cell>
          <cell r="J89">
            <v>3087.365844026705</v>
          </cell>
          <cell r="K89">
            <v>3805.6938764479878</v>
          </cell>
          <cell r="L89">
            <v>2596.2665814495713</v>
          </cell>
          <cell r="M89">
            <v>2677.9827288552829</v>
          </cell>
          <cell r="N89">
            <v>2897.3641120746775</v>
          </cell>
          <cell r="O89">
            <v>1351.1186971720001</v>
          </cell>
          <cell r="P89">
            <v>914.31075462920865</v>
          </cell>
          <cell r="Q89">
            <v>340.53715076273937</v>
          </cell>
          <cell r="R89">
            <v>180.18316416276079</v>
          </cell>
          <cell r="S89">
            <v>223.89983396016154</v>
          </cell>
          <cell r="T89">
            <v>237.98525928783386</v>
          </cell>
          <cell r="U89">
            <v>93.960182520101341</v>
          </cell>
          <cell r="V89">
            <v>184.08324375443576</v>
          </cell>
          <cell r="W89">
            <v>123.17250276750416</v>
          </cell>
          <cell r="X89">
            <v>1018.4104668861094</v>
          </cell>
          <cell r="Y89">
            <v>1330.9643349509954</v>
          </cell>
          <cell r="Z89">
            <v>2479.5023775292457</v>
          </cell>
          <cell r="AA89">
            <v>1097.4875650843969</v>
          </cell>
          <cell r="AB89">
            <v>933.6527658937448</v>
          </cell>
          <cell r="AC89">
            <v>2376.7291699942989</v>
          </cell>
          <cell r="AD89">
            <v>222.83467023809521</v>
          </cell>
          <cell r="AE89">
            <v>720.9138214168039</v>
          </cell>
          <cell r="AF89">
            <v>3795.1306</v>
          </cell>
          <cell r="AG89">
            <v>1948.4243792712482</v>
          </cell>
          <cell r="AH89">
            <v>839.38536442836312</v>
          </cell>
          <cell r="AI89">
            <v>238.62173588245921</v>
          </cell>
          <cell r="AJ89">
            <v>269.18171552417982</v>
          </cell>
          <cell r="AL89">
            <v>80.353700000000003</v>
          </cell>
          <cell r="AN89">
            <v>54.945767218732158</v>
          </cell>
          <cell r="AO89">
            <v>91.456599999999995</v>
          </cell>
          <cell r="AP89">
            <v>60.825800000000001</v>
          </cell>
          <cell r="AR89">
            <v>108.581</v>
          </cell>
          <cell r="AV89">
            <v>78.465800000000002</v>
          </cell>
          <cell r="AZ89">
            <v>64.389600000000002</v>
          </cell>
          <cell r="DO89">
            <v>89</v>
          </cell>
        </row>
        <row r="90">
          <cell r="A90" t="str">
            <v>Corpus Christi, TX Metro Area</v>
          </cell>
          <cell r="B90">
            <v>2400.833930639375</v>
          </cell>
          <cell r="C90">
            <v>5386.0781304818356</v>
          </cell>
          <cell r="D90">
            <v>6809.0256145961121</v>
          </cell>
          <cell r="E90">
            <v>5605.8507633261124</v>
          </cell>
          <cell r="F90">
            <v>4227.3599058766004</v>
          </cell>
          <cell r="G90">
            <v>4344.7527812764538</v>
          </cell>
          <cell r="H90">
            <v>4354.0776743251536</v>
          </cell>
          <cell r="I90">
            <v>4815.3155454480557</v>
          </cell>
          <cell r="J90">
            <v>3096.0226602035086</v>
          </cell>
          <cell r="K90">
            <v>906.28726021905561</v>
          </cell>
          <cell r="L90">
            <v>1542.6550081139594</v>
          </cell>
          <cell r="M90">
            <v>1104.1290028246804</v>
          </cell>
          <cell r="N90">
            <v>1311.8009856591486</v>
          </cell>
          <cell r="O90">
            <v>1452.6648128164868</v>
          </cell>
          <cell r="P90">
            <v>710.2029</v>
          </cell>
          <cell r="Q90">
            <v>843.42899999999997</v>
          </cell>
          <cell r="R90">
            <v>982.05518272358904</v>
          </cell>
          <cell r="S90">
            <v>614.42290000000003</v>
          </cell>
          <cell r="T90">
            <v>20.876899999999999</v>
          </cell>
          <cell r="V90">
            <v>379.18305604095559</v>
          </cell>
          <cell r="W90">
            <v>105.78579999999999</v>
          </cell>
          <cell r="X90">
            <v>27.485815696478276</v>
          </cell>
          <cell r="AA90">
            <v>1562.6367</v>
          </cell>
          <cell r="AB90">
            <v>877.11110000000008</v>
          </cell>
          <cell r="AD90">
            <v>936.61514295566496</v>
          </cell>
          <cell r="AE90">
            <v>29.655999999999995</v>
          </cell>
          <cell r="AH90">
            <v>22.965</v>
          </cell>
          <cell r="AI90">
            <v>518.20090000000005</v>
          </cell>
          <cell r="DO90">
            <v>90</v>
          </cell>
        </row>
        <row r="91">
          <cell r="A91" t="str">
            <v>Corvallis, OR Metro Area</v>
          </cell>
          <cell r="B91">
            <v>7127.7297175371978</v>
          </cell>
          <cell r="C91">
            <v>3785.0251882797579</v>
          </cell>
          <cell r="D91">
            <v>1309.0955284166628</v>
          </cell>
          <cell r="E91">
            <v>163.95779999999999</v>
          </cell>
          <cell r="F91">
            <v>428.26520000000005</v>
          </cell>
          <cell r="G91">
            <v>1065.2443000000001</v>
          </cell>
          <cell r="H91">
            <v>19.9175</v>
          </cell>
          <cell r="K91">
            <v>354.20760000000001</v>
          </cell>
          <cell r="N91">
            <v>13.6632</v>
          </cell>
          <cell r="P91">
            <v>22.181000000000001</v>
          </cell>
          <cell r="DO91">
            <v>91</v>
          </cell>
        </row>
        <row r="92">
          <cell r="A92" t="str">
            <v>Crestview-Fort Walton Beach-Destin, FL Metro Area</v>
          </cell>
          <cell r="C92">
            <v>586.08941902381378</v>
          </cell>
          <cell r="D92">
            <v>587.68099433660655</v>
          </cell>
          <cell r="F92">
            <v>177.59829999999999</v>
          </cell>
          <cell r="G92">
            <v>47.852699999999999</v>
          </cell>
          <cell r="I92">
            <v>26.744199999999999</v>
          </cell>
          <cell r="O92">
            <v>21.079499999999999</v>
          </cell>
          <cell r="S92">
            <v>926.23821011728319</v>
          </cell>
          <cell r="T92">
            <v>2742.9868999999999</v>
          </cell>
          <cell r="V92">
            <v>1826.6780115763888</v>
          </cell>
          <cell r="W92">
            <v>3717.4470364544027</v>
          </cell>
          <cell r="X92">
            <v>3404.546944496818</v>
          </cell>
          <cell r="Y92">
            <v>3320.3607288401254</v>
          </cell>
          <cell r="Z92">
            <v>2670.0345520267838</v>
          </cell>
          <cell r="AA92">
            <v>1363.9522783738</v>
          </cell>
          <cell r="AB92">
            <v>2341.1026510248539</v>
          </cell>
          <cell r="AC92">
            <v>692.07040000000006</v>
          </cell>
          <cell r="DO92">
            <v>92</v>
          </cell>
        </row>
        <row r="93">
          <cell r="A93" t="str">
            <v>Cumberland, MD-WV Metro Area</v>
          </cell>
          <cell r="B93">
            <v>4008.7490752469498</v>
          </cell>
          <cell r="C93">
            <v>1977.2489703781623</v>
          </cell>
          <cell r="D93">
            <v>720.08936322147645</v>
          </cell>
          <cell r="E93">
            <v>390.61541408992377</v>
          </cell>
          <cell r="H93">
            <v>182.33359999999999</v>
          </cell>
          <cell r="I93">
            <v>300.91225118669405</v>
          </cell>
          <cell r="J93">
            <v>106.76434739079606</v>
          </cell>
          <cell r="K93">
            <v>922.34097480442415</v>
          </cell>
          <cell r="N93">
            <v>19.895</v>
          </cell>
          <cell r="O93">
            <v>148.20910000000001</v>
          </cell>
          <cell r="T93">
            <v>179.98400000000001</v>
          </cell>
          <cell r="U93">
            <v>597.22280000000001</v>
          </cell>
          <cell r="W93">
            <v>66.294266132723109</v>
          </cell>
          <cell r="Z93">
            <v>38.296999999999997</v>
          </cell>
          <cell r="DO93">
            <v>93</v>
          </cell>
        </row>
        <row r="94">
          <cell r="A94" t="str">
            <v>Dallas-Fort Worth-Arlington, TX Metro Area</v>
          </cell>
          <cell r="B94">
            <v>2844.0945576454033</v>
          </cell>
          <cell r="C94">
            <v>3922.1050912417682</v>
          </cell>
          <cell r="D94">
            <v>9020.9694067065702</v>
          </cell>
          <cell r="E94">
            <v>7575.9635246970111</v>
          </cell>
          <cell r="F94">
            <v>5913.2948612093023</v>
          </cell>
          <cell r="G94">
            <v>6067.9257257392355</v>
          </cell>
          <cell r="H94">
            <v>9332.4901214398396</v>
          </cell>
          <cell r="I94">
            <v>8599.5660008130453</v>
          </cell>
          <cell r="J94">
            <v>5770.918440465909</v>
          </cell>
          <cell r="K94">
            <v>5288.2589921088165</v>
          </cell>
          <cell r="L94">
            <v>6129.942402857956</v>
          </cell>
          <cell r="M94">
            <v>7260.9845511778503</v>
          </cell>
          <cell r="N94">
            <v>5139.9573869733458</v>
          </cell>
          <cell r="O94">
            <v>4562.3656592526813</v>
          </cell>
          <cell r="P94">
            <v>3602.7461875337472</v>
          </cell>
          <cell r="Q94">
            <v>4324.219670449148</v>
          </cell>
          <cell r="R94">
            <v>4607.7561421766477</v>
          </cell>
          <cell r="S94">
            <v>4364.9772377807622</v>
          </cell>
          <cell r="T94">
            <v>3935.60173484999</v>
          </cell>
          <cell r="U94">
            <v>3635.9971458665118</v>
          </cell>
          <cell r="V94">
            <v>3909.1205032362409</v>
          </cell>
          <cell r="W94">
            <v>3451.4022227654896</v>
          </cell>
          <cell r="X94">
            <v>3008.385590165019</v>
          </cell>
          <cell r="Y94">
            <v>2951.6917109982937</v>
          </cell>
          <cell r="Z94">
            <v>2798.6523479162065</v>
          </cell>
          <cell r="AA94">
            <v>2663.4059877268542</v>
          </cell>
          <cell r="AB94">
            <v>2584.0742241750572</v>
          </cell>
          <cell r="AC94">
            <v>2800.8941134345887</v>
          </cell>
          <cell r="AD94">
            <v>2780.1048688739388</v>
          </cell>
          <cell r="AE94">
            <v>2697.024058958375</v>
          </cell>
          <cell r="AF94">
            <v>1908.9225721565263</v>
          </cell>
          <cell r="AG94">
            <v>2926.659714456132</v>
          </cell>
          <cell r="AH94">
            <v>2390.4572225998149</v>
          </cell>
          <cell r="AI94">
            <v>3142.975395978734</v>
          </cell>
          <cell r="AJ94">
            <v>3376.0384809343627</v>
          </cell>
          <cell r="AK94">
            <v>2888.3907375951649</v>
          </cell>
          <cell r="AL94">
            <v>2782.0281681259398</v>
          </cell>
          <cell r="AM94">
            <v>1596.8432390579899</v>
          </cell>
          <cell r="AN94">
            <v>2026.8223411111112</v>
          </cell>
          <cell r="AO94">
            <v>3995.6749866217124</v>
          </cell>
          <cell r="AP94">
            <v>610.69230310792477</v>
          </cell>
          <cell r="AQ94">
            <v>429.61017736361532</v>
          </cell>
          <cell r="AR94">
            <v>143.59681757335653</v>
          </cell>
          <cell r="AS94">
            <v>483.75365983542582</v>
          </cell>
          <cell r="AT94">
            <v>528.44218347976084</v>
          </cell>
          <cell r="AU94">
            <v>2272.3896800000002</v>
          </cell>
          <cell r="AV94">
            <v>1206.4026616362037</v>
          </cell>
          <cell r="AW94">
            <v>404.68266334661354</v>
          </cell>
          <cell r="AX94">
            <v>63.551324410800682</v>
          </cell>
          <cell r="AY94">
            <v>130.60116293218084</v>
          </cell>
          <cell r="AZ94">
            <v>93.955799999999982</v>
          </cell>
          <cell r="BA94">
            <v>24.178899999999999</v>
          </cell>
          <cell r="BB94">
            <v>228.15719200348789</v>
          </cell>
          <cell r="BC94">
            <v>36.813099999999999</v>
          </cell>
          <cell r="BD94">
            <v>86.719399999999993</v>
          </cell>
          <cell r="BE94">
            <v>263.45659999999998</v>
          </cell>
          <cell r="BF94">
            <v>180.28042924943341</v>
          </cell>
          <cell r="BG94">
            <v>1209.38318532977</v>
          </cell>
          <cell r="BH94">
            <v>55.53741851179673</v>
          </cell>
          <cell r="BI94">
            <v>777.62890000000004</v>
          </cell>
          <cell r="BJ94">
            <v>746.6903232472323</v>
          </cell>
          <cell r="BK94">
            <v>131.5430189740122</v>
          </cell>
          <cell r="BM94">
            <v>216.07047428631404</v>
          </cell>
          <cell r="BP94">
            <v>42.617589505590736</v>
          </cell>
          <cell r="BR94">
            <v>37.432763836814857</v>
          </cell>
          <cell r="BY94">
            <v>11.7302</v>
          </cell>
          <cell r="BZ94">
            <v>237.4461</v>
          </cell>
          <cell r="DO94">
            <v>94</v>
          </cell>
        </row>
        <row r="95">
          <cell r="A95" t="str">
            <v>Dalton, GA Metro Area</v>
          </cell>
          <cell r="B95">
            <v>1903.2928447201386</v>
          </cell>
          <cell r="C95">
            <v>1347.7781467247007</v>
          </cell>
          <cell r="D95">
            <v>1698.8109999999999</v>
          </cell>
          <cell r="E95">
            <v>291.84257249761981</v>
          </cell>
          <cell r="F95">
            <v>439.26405359498409</v>
          </cell>
          <cell r="G95">
            <v>331.43571434505674</v>
          </cell>
          <cell r="H95">
            <v>163.13511021727609</v>
          </cell>
          <cell r="I95">
            <v>365.97609999999997</v>
          </cell>
          <cell r="K95">
            <v>226.56469999999999</v>
          </cell>
          <cell r="L95">
            <v>284.2800974623849</v>
          </cell>
          <cell r="M95">
            <v>107.95149438506115</v>
          </cell>
          <cell r="O95">
            <v>51.336599999999997</v>
          </cell>
          <cell r="P95">
            <v>44.080100000000002</v>
          </cell>
          <cell r="R95">
            <v>47.010100000000001</v>
          </cell>
          <cell r="DO95">
            <v>95</v>
          </cell>
        </row>
        <row r="96">
          <cell r="A96" t="str">
            <v>Danville, IL Metro Area</v>
          </cell>
          <cell r="B96">
            <v>2379.5449122852679</v>
          </cell>
          <cell r="C96">
            <v>2106.4861446250561</v>
          </cell>
          <cell r="D96">
            <v>725.82411193930363</v>
          </cell>
          <cell r="E96">
            <v>507.76232888784904</v>
          </cell>
          <cell r="G96">
            <v>377.62013103212576</v>
          </cell>
          <cell r="I96">
            <v>65.887200000000007</v>
          </cell>
          <cell r="J96">
            <v>53.769799999999996</v>
          </cell>
          <cell r="L96">
            <v>126.38081764051196</v>
          </cell>
          <cell r="N96">
            <v>35.262599999999999</v>
          </cell>
          <cell r="P96">
            <v>17.161100000000001</v>
          </cell>
          <cell r="V96">
            <v>18.154</v>
          </cell>
          <cell r="Y96">
            <v>652.85490000000004</v>
          </cell>
          <cell r="DO96">
            <v>96</v>
          </cell>
        </row>
        <row r="97">
          <cell r="A97" t="str">
            <v>Danville, VA Metro Area</v>
          </cell>
          <cell r="B97">
            <v>3460.385417128713</v>
          </cell>
          <cell r="C97">
            <v>2149.9148241432226</v>
          </cell>
          <cell r="D97">
            <v>2040.4835505909448</v>
          </cell>
          <cell r="F97">
            <v>491.77666163659467</v>
          </cell>
          <cell r="I97">
            <v>61.74430000000001</v>
          </cell>
          <cell r="J97">
            <v>112.09707838086476</v>
          </cell>
          <cell r="M97">
            <v>70.858213181484203</v>
          </cell>
          <cell r="N97">
            <v>58.222899999999996</v>
          </cell>
          <cell r="R97">
            <v>75.7483</v>
          </cell>
          <cell r="S97">
            <v>32.998399999999997</v>
          </cell>
          <cell r="U97">
            <v>19.619199999999999</v>
          </cell>
          <cell r="Y97">
            <v>80.189400000000006</v>
          </cell>
          <cell r="AD97">
            <v>35.832599999999999</v>
          </cell>
          <cell r="AE97">
            <v>34.1858</v>
          </cell>
          <cell r="AJ97">
            <v>133.44560000000001</v>
          </cell>
          <cell r="DO97">
            <v>97</v>
          </cell>
        </row>
        <row r="98">
          <cell r="A98" t="str">
            <v>Davenport-Moline-Rock Island, IA-IL Metro Area</v>
          </cell>
          <cell r="B98">
            <v>5193.4003293202031</v>
          </cell>
          <cell r="C98">
            <v>4929.4981053843112</v>
          </cell>
          <cell r="D98">
            <v>3956.5613482223198</v>
          </cell>
          <cell r="E98">
            <v>2845.4483898594794</v>
          </cell>
          <cell r="F98">
            <v>2670.1160744874401</v>
          </cell>
          <cell r="G98">
            <v>2427.3869318778079</v>
          </cell>
          <cell r="H98">
            <v>2382.9775634161888</v>
          </cell>
          <cell r="I98">
            <v>2110.1899783157696</v>
          </cell>
          <cell r="J98">
            <v>826.47729354281364</v>
          </cell>
          <cell r="K98">
            <v>228.8168186707374</v>
          </cell>
          <cell r="L98">
            <v>461.99310000000008</v>
          </cell>
          <cell r="M98">
            <v>57.707700000000003</v>
          </cell>
          <cell r="N98">
            <v>457.24520000000001</v>
          </cell>
          <cell r="O98">
            <v>47.195500000000003</v>
          </cell>
          <cell r="P98">
            <v>46.559380434782604</v>
          </cell>
          <cell r="Q98">
            <v>53.749948481485227</v>
          </cell>
          <cell r="R98">
            <v>41.6691</v>
          </cell>
          <cell r="S98">
            <v>92.554400000000001</v>
          </cell>
          <cell r="X98">
            <v>282.54340000000002</v>
          </cell>
          <cell r="Y98">
            <v>40.881399999999999</v>
          </cell>
          <cell r="Z98">
            <v>116.86640630393099</v>
          </cell>
          <cell r="AB98">
            <v>21.685300000000002</v>
          </cell>
          <cell r="AE98">
            <v>15.931886725128516</v>
          </cell>
          <cell r="AH98">
            <v>14.894500000000001</v>
          </cell>
          <cell r="AM98">
            <v>176.0633</v>
          </cell>
          <cell r="AN98">
            <v>2465.6141614890885</v>
          </cell>
          <cell r="AO98">
            <v>242.23171439087764</v>
          </cell>
          <cell r="DO98">
            <v>98</v>
          </cell>
        </row>
        <row r="99">
          <cell r="A99" t="str">
            <v>Dayton, OH Metro Area</v>
          </cell>
          <cell r="B99">
            <v>3714.3919477330614</v>
          </cell>
          <cell r="C99">
            <v>6608.492420073424</v>
          </cell>
          <cell r="D99">
            <v>5915.1124900455025</v>
          </cell>
          <cell r="E99">
            <v>4904.3345975552784</v>
          </cell>
          <cell r="F99">
            <v>3174.8658926835615</v>
          </cell>
          <cell r="G99">
            <v>2842.2104334481646</v>
          </cell>
          <cell r="H99">
            <v>1939.2331656297074</v>
          </cell>
          <cell r="I99">
            <v>2248.5518913463543</v>
          </cell>
          <cell r="J99">
            <v>3397.7299873898201</v>
          </cell>
          <cell r="K99">
            <v>1943.9161633815945</v>
          </cell>
          <cell r="L99">
            <v>1309.0295650399403</v>
          </cell>
          <cell r="M99">
            <v>666.40851763363185</v>
          </cell>
          <cell r="N99">
            <v>413.66379999999992</v>
          </cell>
          <cell r="O99">
            <v>1131.5178774163201</v>
          </cell>
          <cell r="P99">
            <v>600.09845532630959</v>
          </cell>
          <cell r="Q99">
            <v>453.17947203532378</v>
          </cell>
          <cell r="R99">
            <v>577.62696903683445</v>
          </cell>
          <cell r="S99">
            <v>551.94372015566728</v>
          </cell>
          <cell r="T99">
            <v>671.71434166120434</v>
          </cell>
          <cell r="U99">
            <v>434.32482142857145</v>
          </cell>
          <cell r="V99">
            <v>354.86566083054089</v>
          </cell>
          <cell r="W99">
            <v>109.74209663898773</v>
          </cell>
          <cell r="X99">
            <v>76.084290472954606</v>
          </cell>
          <cell r="Y99">
            <v>782.28248453547621</v>
          </cell>
          <cell r="Z99">
            <v>41.258200000000002</v>
          </cell>
          <cell r="AA99">
            <v>104.54432700085445</v>
          </cell>
          <cell r="AB99">
            <v>702.0197759657193</v>
          </cell>
          <cell r="AC99">
            <v>846.30562167300377</v>
          </cell>
          <cell r="AD99">
            <v>94.49</v>
          </cell>
          <cell r="AF99">
            <v>28.870899999999999</v>
          </cell>
          <cell r="AG99">
            <v>98.441400000000002</v>
          </cell>
          <cell r="DO99">
            <v>99</v>
          </cell>
        </row>
        <row r="100">
          <cell r="A100" t="str">
            <v>Decatur, AL Metro Area</v>
          </cell>
          <cell r="B100">
            <v>2293.7292000000002</v>
          </cell>
          <cell r="C100">
            <v>2025.9009356210468</v>
          </cell>
          <cell r="D100">
            <v>2295.087459694586</v>
          </cell>
          <cell r="E100">
            <v>1663.3168731560695</v>
          </cell>
          <cell r="F100">
            <v>149.93620000000001</v>
          </cell>
          <cell r="G100">
            <v>240.8833811993517</v>
          </cell>
          <cell r="H100">
            <v>378.66730000000001</v>
          </cell>
          <cell r="J100">
            <v>172.5675</v>
          </cell>
          <cell r="K100">
            <v>195.75020000000001</v>
          </cell>
          <cell r="L100">
            <v>171.71549999999999</v>
          </cell>
          <cell r="M100">
            <v>574.23732065436923</v>
          </cell>
          <cell r="N100">
            <v>216.18925533687298</v>
          </cell>
          <cell r="P100">
            <v>76.038700000000006</v>
          </cell>
          <cell r="R100">
            <v>27.901399999999999</v>
          </cell>
          <cell r="S100">
            <v>66.511200000000002</v>
          </cell>
          <cell r="T100">
            <v>127.6639</v>
          </cell>
          <cell r="W100">
            <v>75.744609754265483</v>
          </cell>
          <cell r="X100">
            <v>44.54</v>
          </cell>
          <cell r="Y100">
            <v>60.817089497467862</v>
          </cell>
          <cell r="AD100">
            <v>13.8757</v>
          </cell>
          <cell r="DO100">
            <v>100</v>
          </cell>
        </row>
        <row r="101">
          <cell r="A101" t="str">
            <v>Decatur, IL Metro Area</v>
          </cell>
          <cell r="B101">
            <v>5164.8884973751992</v>
          </cell>
          <cell r="C101">
            <v>3488.0312098321888</v>
          </cell>
          <cell r="D101">
            <v>1406.2101011319187</v>
          </cell>
          <cell r="E101">
            <v>1337.9357089709611</v>
          </cell>
          <cell r="G101">
            <v>103.75960254877835</v>
          </cell>
          <cell r="H101">
            <v>92.107323568464736</v>
          </cell>
          <cell r="I101">
            <v>35.445599999999999</v>
          </cell>
          <cell r="J101">
            <v>39.881999999999998</v>
          </cell>
          <cell r="L101">
            <v>36.444699999999997</v>
          </cell>
          <cell r="N101">
            <v>37.623600000000003</v>
          </cell>
          <cell r="DO101">
            <v>101</v>
          </cell>
        </row>
        <row r="102">
          <cell r="A102" t="str">
            <v>Deltona-Daytona Beach-Ormond Beach, FL Metro Area</v>
          </cell>
          <cell r="C102">
            <v>1907.8552493065545</v>
          </cell>
          <cell r="D102">
            <v>1779.9064956555876</v>
          </cell>
          <cell r="E102">
            <v>1629.3173314202363</v>
          </cell>
          <cell r="F102">
            <v>413.50726480377546</v>
          </cell>
          <cell r="G102">
            <v>1246.2595399619574</v>
          </cell>
          <cell r="H102">
            <v>786.29933053016453</v>
          </cell>
          <cell r="I102">
            <v>1762.6428432444313</v>
          </cell>
          <cell r="J102">
            <v>1976.5678383466013</v>
          </cell>
          <cell r="K102">
            <v>640.44780000000003</v>
          </cell>
          <cell r="L102">
            <v>100.6893922562478</v>
          </cell>
          <cell r="M102">
            <v>615.74054305486891</v>
          </cell>
          <cell r="P102">
            <v>420.8073</v>
          </cell>
          <cell r="Q102">
            <v>479.62610920726667</v>
          </cell>
          <cell r="R102">
            <v>51.357900000000001</v>
          </cell>
          <cell r="S102">
            <v>1389.8445787882067</v>
          </cell>
          <cell r="T102">
            <v>1753.7910881546748</v>
          </cell>
          <cell r="U102">
            <v>2465.5270182452277</v>
          </cell>
          <cell r="V102">
            <v>1939.9515815574537</v>
          </cell>
          <cell r="W102">
            <v>2546.216672537163</v>
          </cell>
          <cell r="X102">
            <v>3301.7976266693959</v>
          </cell>
          <cell r="Y102">
            <v>2426.304017428487</v>
          </cell>
          <cell r="Z102">
            <v>3722.7831749751454</v>
          </cell>
          <cell r="AA102">
            <v>3409.153327947598</v>
          </cell>
          <cell r="AB102">
            <v>1658.1860845220926</v>
          </cell>
          <cell r="AC102">
            <v>2134.110959878315</v>
          </cell>
          <cell r="AE102">
            <v>2448.2882448259861</v>
          </cell>
          <cell r="AF102">
            <v>3659.0762</v>
          </cell>
          <cell r="AH102">
            <v>1463.0815</v>
          </cell>
          <cell r="DO102">
            <v>102</v>
          </cell>
        </row>
        <row r="103">
          <cell r="A103" t="str">
            <v>Denver-Aurora-Broomfield, CO Metro Area</v>
          </cell>
          <cell r="B103">
            <v>15546.784786235394</v>
          </cell>
          <cell r="C103">
            <v>9971.4754624985908</v>
          </cell>
          <cell r="D103">
            <v>8026.530978971995</v>
          </cell>
          <cell r="E103">
            <v>6605.4462381067378</v>
          </cell>
          <cell r="F103">
            <v>6492.2591663123576</v>
          </cell>
          <cell r="G103">
            <v>5215.6671499093745</v>
          </cell>
          <cell r="H103">
            <v>6054.5783989594611</v>
          </cell>
          <cell r="I103">
            <v>5607.9819689688902</v>
          </cell>
          <cell r="J103">
            <v>5597.099906352576</v>
          </cell>
          <cell r="K103">
            <v>4690.0930251106975</v>
          </cell>
          <cell r="L103">
            <v>4162.441241331625</v>
          </cell>
          <cell r="M103">
            <v>4296.1724491730765</v>
          </cell>
          <cell r="N103">
            <v>4333.3739663149163</v>
          </cell>
          <cell r="O103">
            <v>4600.1299568794557</v>
          </cell>
          <cell r="P103">
            <v>3778.1301610860378</v>
          </cell>
          <cell r="Q103">
            <v>2009.8082585505217</v>
          </cell>
          <cell r="R103">
            <v>1400.895154722836</v>
          </cell>
          <cell r="S103">
            <v>1589.8701111483188</v>
          </cell>
          <cell r="T103">
            <v>1679.9307563204006</v>
          </cell>
          <cell r="U103">
            <v>1228.1290598979026</v>
          </cell>
          <cell r="V103">
            <v>2502.3547556035442</v>
          </cell>
          <cell r="W103">
            <v>754.56106839627682</v>
          </cell>
          <cell r="X103">
            <v>290.90957823529413</v>
          </cell>
          <cell r="Y103">
            <v>1162.5482999999999</v>
          </cell>
          <cell r="Z103">
            <v>545.01085221367975</v>
          </cell>
          <cell r="AA103">
            <v>221.35055044144377</v>
          </cell>
          <cell r="AB103">
            <v>716.9564114925372</v>
          </cell>
          <cell r="AC103">
            <v>694.78588989612831</v>
          </cell>
          <cell r="AD103">
            <v>12.6341</v>
          </cell>
          <cell r="AE103">
            <v>154.9211</v>
          </cell>
          <cell r="AF103">
            <v>52.286199999999994</v>
          </cell>
          <cell r="AG103">
            <v>28.9907</v>
          </cell>
          <cell r="AH103">
            <v>18.858897543221111</v>
          </cell>
          <cell r="AI103">
            <v>36.662238049940548</v>
          </cell>
          <cell r="AK103">
            <v>43.876399999999997</v>
          </cell>
          <cell r="AL103">
            <v>8.5638799163179904</v>
          </cell>
          <cell r="AO103">
            <v>8.6998999999999995</v>
          </cell>
          <cell r="AR103">
            <v>18.452200000000001</v>
          </cell>
          <cell r="AS103">
            <v>4.6851000000000003</v>
          </cell>
          <cell r="BH103">
            <v>1.6553</v>
          </cell>
          <cell r="BM103">
            <v>1.6066</v>
          </cell>
          <cell r="BO103">
            <v>17.8933</v>
          </cell>
          <cell r="BQ103">
            <v>2.2875999999999999</v>
          </cell>
          <cell r="DO103">
            <v>103</v>
          </cell>
        </row>
        <row r="104">
          <cell r="A104" t="str">
            <v>Des Moines-West Des Moines, IA Metro Area</v>
          </cell>
          <cell r="B104">
            <v>3926.4828353017524</v>
          </cell>
          <cell r="C104">
            <v>4891.0071664695752</v>
          </cell>
          <cell r="D104">
            <v>4911.3041494349272</v>
          </cell>
          <cell r="E104">
            <v>3183.2394004608691</v>
          </cell>
          <cell r="F104">
            <v>2915.4781835943768</v>
          </cell>
          <cell r="G104">
            <v>2911.4779127134884</v>
          </cell>
          <cell r="H104">
            <v>3361.1729241696903</v>
          </cell>
          <cell r="I104">
            <v>2014.5500340286828</v>
          </cell>
          <cell r="J104">
            <v>1172.05451069624</v>
          </cell>
          <cell r="K104">
            <v>951.68323812932283</v>
          </cell>
          <cell r="L104">
            <v>1981.3307889188027</v>
          </cell>
          <cell r="M104">
            <v>63.860202815013402</v>
          </cell>
          <cell r="N104">
            <v>183.73501986262968</v>
          </cell>
          <cell r="O104">
            <v>3299.2303999999999</v>
          </cell>
          <cell r="P104">
            <v>53.266473506754494</v>
          </cell>
          <cell r="Q104">
            <v>1531.66417468638</v>
          </cell>
          <cell r="R104">
            <v>1097.7555958582755</v>
          </cell>
          <cell r="S104">
            <v>36.978299999999997</v>
          </cell>
          <cell r="T104">
            <v>57.18</v>
          </cell>
          <cell r="V104">
            <v>30.160399999999999</v>
          </cell>
          <cell r="W104">
            <v>72.367926337929433</v>
          </cell>
          <cell r="Y104">
            <v>20.143999999999998</v>
          </cell>
          <cell r="AC104">
            <v>779.48469999999998</v>
          </cell>
          <cell r="AD104">
            <v>41.760899999999999</v>
          </cell>
          <cell r="AF104">
            <v>716.9989979701013</v>
          </cell>
          <cell r="AP104">
            <v>29.394657368060315</v>
          </cell>
          <cell r="AZ104">
            <v>8.9179999999999993</v>
          </cell>
          <cell r="DO104">
            <v>104</v>
          </cell>
        </row>
        <row r="105">
          <cell r="A105" t="str">
            <v>Detroit-Warren-Livonia, MI Metro Area</v>
          </cell>
          <cell r="B105">
            <v>7049.4136995778854</v>
          </cell>
          <cell r="C105">
            <v>7241.4196429844924</v>
          </cell>
          <cell r="D105">
            <v>7129.9586191881835</v>
          </cell>
          <cell r="E105">
            <v>7950.4447021565747</v>
          </cell>
          <cell r="F105">
            <v>8947.5593799785929</v>
          </cell>
          <cell r="G105">
            <v>8189.8338007777174</v>
          </cell>
          <cell r="H105">
            <v>8498.9033599349332</v>
          </cell>
          <cell r="I105">
            <v>8750.5041318423864</v>
          </cell>
          <cell r="J105">
            <v>7956.5610503164089</v>
          </cell>
          <cell r="K105">
            <v>7065.2785668757979</v>
          </cell>
          <cell r="L105">
            <v>6379.3341160395821</v>
          </cell>
          <cell r="M105">
            <v>5888.1608344128817</v>
          </cell>
          <cell r="N105">
            <v>5655.7108447945666</v>
          </cell>
          <cell r="O105">
            <v>4639.6699948653841</v>
          </cell>
          <cell r="P105">
            <v>4690.6815760387817</v>
          </cell>
          <cell r="Q105">
            <v>4178.3445054680597</v>
          </cell>
          <cell r="R105">
            <v>4448.209379035834</v>
          </cell>
          <cell r="S105">
            <v>3611.6633865218587</v>
          </cell>
          <cell r="T105">
            <v>3221.0807368216219</v>
          </cell>
          <cell r="U105">
            <v>2915.0243498895588</v>
          </cell>
          <cell r="V105">
            <v>3279.5876690188406</v>
          </cell>
          <cell r="W105">
            <v>2891.2058641854087</v>
          </cell>
          <cell r="X105">
            <v>2891.1074833625335</v>
          </cell>
          <cell r="Y105">
            <v>2480.3713488389349</v>
          </cell>
          <cell r="Z105">
            <v>2196.588429371609</v>
          </cell>
          <cell r="AA105">
            <v>2869.7956197289932</v>
          </cell>
          <cell r="AB105">
            <v>2508.964825457334</v>
          </cell>
          <cell r="AC105">
            <v>2406.3102248615228</v>
          </cell>
          <cell r="AD105">
            <v>1982.2482593039854</v>
          </cell>
          <cell r="AE105">
            <v>1463.1110249289338</v>
          </cell>
          <cell r="AF105">
            <v>1298.2424744286338</v>
          </cell>
          <cell r="AG105">
            <v>1270.9100071276196</v>
          </cell>
          <cell r="AH105">
            <v>1587.2694680918619</v>
          </cell>
          <cell r="AI105">
            <v>1636.8677579079267</v>
          </cell>
          <cell r="AJ105">
            <v>477.00886849715675</v>
          </cell>
          <cell r="AK105">
            <v>825.53270944512326</v>
          </cell>
          <cell r="AL105">
            <v>695.05444757446082</v>
          </cell>
          <cell r="AM105">
            <v>631.78843574306188</v>
          </cell>
          <cell r="AN105">
            <v>878.31744683281408</v>
          </cell>
          <cell r="AO105">
            <v>1075.5196772621121</v>
          </cell>
          <cell r="AP105">
            <v>781.31641990640378</v>
          </cell>
          <cell r="AQ105">
            <v>448.41208840632754</v>
          </cell>
          <cell r="AR105">
            <v>411.89207046753688</v>
          </cell>
          <cell r="AS105">
            <v>382.71673234396383</v>
          </cell>
          <cell r="AT105">
            <v>1227.0702573644414</v>
          </cell>
          <cell r="AU105">
            <v>283.56114669618154</v>
          </cell>
          <cell r="AV105">
            <v>347.03429161098074</v>
          </cell>
          <cell r="AW105">
            <v>876.22462339177059</v>
          </cell>
          <cell r="AX105">
            <v>208.32177663283528</v>
          </cell>
          <cell r="AY105">
            <v>1314.0169609594541</v>
          </cell>
          <cell r="AZ105">
            <v>595.73086873618274</v>
          </cell>
          <cell r="BA105">
            <v>1247.5909904761904</v>
          </cell>
          <cell r="BB105">
            <v>1319.5535398083739</v>
          </cell>
          <cell r="BC105">
            <v>1992.7104779385313</v>
          </cell>
          <cell r="BD105">
            <v>2024.262665148352</v>
          </cell>
          <cell r="BE105">
            <v>1407.8534592010733</v>
          </cell>
          <cell r="BF105">
            <v>2486.8446915004747</v>
          </cell>
          <cell r="BG105">
            <v>688.36626077981646</v>
          </cell>
          <cell r="BH105">
            <v>169.16128286788398</v>
          </cell>
          <cell r="BJ105">
            <v>154.57214356462006</v>
          </cell>
          <cell r="BN105">
            <v>139.2807</v>
          </cell>
          <cell r="BP105">
            <v>40.260800000000003</v>
          </cell>
          <cell r="DO105">
            <v>105</v>
          </cell>
        </row>
        <row r="106">
          <cell r="A106" t="str">
            <v>Dothan, AL Metro Area</v>
          </cell>
          <cell r="B106">
            <v>2907.3740466186255</v>
          </cell>
          <cell r="C106">
            <v>1911.442212734838</v>
          </cell>
          <cell r="D106">
            <v>835.17207623210925</v>
          </cell>
          <cell r="E106">
            <v>314.9871</v>
          </cell>
          <cell r="F106">
            <v>805.23642072714324</v>
          </cell>
          <cell r="H106">
            <v>80.034099999999995</v>
          </cell>
          <cell r="I106">
            <v>84.76</v>
          </cell>
          <cell r="J106">
            <v>91.943399999999997</v>
          </cell>
          <cell r="K106">
            <v>77.215400000000002</v>
          </cell>
          <cell r="L106">
            <v>60.19694477048477</v>
          </cell>
          <cell r="P106">
            <v>55.109699999999997</v>
          </cell>
          <cell r="Q106">
            <v>28.760659957691143</v>
          </cell>
          <cell r="S106">
            <v>18.159600000000001</v>
          </cell>
          <cell r="T106">
            <v>12.241199999999997</v>
          </cell>
          <cell r="W106">
            <v>42.989199999999997</v>
          </cell>
          <cell r="Z106">
            <v>94.093800000000002</v>
          </cell>
          <cell r="AB106">
            <v>14.743399999999999</v>
          </cell>
          <cell r="AE106">
            <v>28.9497</v>
          </cell>
          <cell r="AH106">
            <v>67.506927022058832</v>
          </cell>
          <cell r="AQ106">
            <v>30.4299</v>
          </cell>
          <cell r="DO106">
            <v>106</v>
          </cell>
        </row>
        <row r="107">
          <cell r="A107" t="str">
            <v>Dover, DE Metro Area</v>
          </cell>
          <cell r="B107">
            <v>2654.3786144279843</v>
          </cell>
          <cell r="C107">
            <v>1797.7816711571795</v>
          </cell>
          <cell r="D107">
            <v>1546.4528145132861</v>
          </cell>
          <cell r="E107">
            <v>675.62584985136743</v>
          </cell>
          <cell r="G107">
            <v>462.49080000000004</v>
          </cell>
          <cell r="H107">
            <v>156.64439999999999</v>
          </cell>
          <cell r="I107">
            <v>422.54419999999999</v>
          </cell>
          <cell r="J107">
            <v>255.69043739627719</v>
          </cell>
          <cell r="K107">
            <v>144.49474256339093</v>
          </cell>
          <cell r="L107">
            <v>343.75519365564037</v>
          </cell>
          <cell r="M107">
            <v>96.192700000000002</v>
          </cell>
          <cell r="P107">
            <v>127.9195</v>
          </cell>
          <cell r="R107">
            <v>218.93879819254423</v>
          </cell>
          <cell r="S107">
            <v>982.39819999999997</v>
          </cell>
          <cell r="V107">
            <v>40.824800000000003</v>
          </cell>
          <cell r="DO107">
            <v>107</v>
          </cell>
        </row>
        <row r="108">
          <cell r="A108" t="str">
            <v>Dubuque, IA Metro Area</v>
          </cell>
          <cell r="B108">
            <v>6037.4412075622577</v>
          </cell>
          <cell r="C108">
            <v>3737.8712210461877</v>
          </cell>
          <cell r="D108">
            <v>1892.2461704675848</v>
          </cell>
          <cell r="E108">
            <v>2250.5076637992834</v>
          </cell>
          <cell r="F108">
            <v>650.64936570685495</v>
          </cell>
          <cell r="G108">
            <v>53.76570000000001</v>
          </cell>
          <cell r="J108">
            <v>59.274000000000001</v>
          </cell>
          <cell r="K108">
            <v>34.2468</v>
          </cell>
          <cell r="Q108">
            <v>72.991</v>
          </cell>
          <cell r="R108">
            <v>20.539400000000001</v>
          </cell>
          <cell r="V108">
            <v>27.0029</v>
          </cell>
          <cell r="Y108">
            <v>316.28660000000002</v>
          </cell>
          <cell r="DO108">
            <v>108</v>
          </cell>
        </row>
        <row r="109">
          <cell r="A109" t="str">
            <v>Duluth, MN-WI Metro Area</v>
          </cell>
          <cell r="B109">
            <v>4885.5697920689145</v>
          </cell>
          <cell r="C109">
            <v>6157.7127892922772</v>
          </cell>
          <cell r="D109">
            <v>2536.6589134234373</v>
          </cell>
          <cell r="E109">
            <v>1631.8660594590817</v>
          </cell>
          <cell r="F109">
            <v>2986.5282330465811</v>
          </cell>
          <cell r="G109">
            <v>776.82515591033007</v>
          </cell>
          <cell r="H109">
            <v>753.36048898320382</v>
          </cell>
          <cell r="I109">
            <v>244.55309191745488</v>
          </cell>
          <cell r="J109">
            <v>700.97450111781404</v>
          </cell>
          <cell r="L109">
            <v>359.74270000000001</v>
          </cell>
          <cell r="N109">
            <v>57.722132105540112</v>
          </cell>
          <cell r="P109">
            <v>29.037039852431331</v>
          </cell>
          <cell r="R109">
            <v>580.48130000000003</v>
          </cell>
          <cell r="S109">
            <v>912.69410000000005</v>
          </cell>
          <cell r="U109">
            <v>32.279600000000002</v>
          </cell>
          <cell r="W109">
            <v>20.5139</v>
          </cell>
          <cell r="X109">
            <v>33.7988</v>
          </cell>
          <cell r="AF109">
            <v>7.2366000000000001</v>
          </cell>
          <cell r="AG109">
            <v>6.2411000000000003</v>
          </cell>
          <cell r="AK109">
            <v>29.515667718446601</v>
          </cell>
          <cell r="AN109">
            <v>8.1978000000000009</v>
          </cell>
          <cell r="AR109">
            <v>4.6063000000000001</v>
          </cell>
          <cell r="AX109">
            <v>42.507800000000003</v>
          </cell>
          <cell r="AZ109">
            <v>36.886600000000001</v>
          </cell>
          <cell r="BA109">
            <v>392.64805383347073</v>
          </cell>
          <cell r="BB109">
            <v>15.692500000000001</v>
          </cell>
          <cell r="BD109">
            <v>2313.1744394245029</v>
          </cell>
          <cell r="BE109">
            <v>917.59483918625676</v>
          </cell>
          <cell r="BF109">
            <v>24.680499999999999</v>
          </cell>
          <cell r="BG109">
            <v>31.260400000000001</v>
          </cell>
          <cell r="BH109">
            <v>2191.2350044097507</v>
          </cell>
          <cell r="BI109">
            <v>2329.2848493456336</v>
          </cell>
          <cell r="BK109">
            <v>1111.9244000000001</v>
          </cell>
          <cell r="BN109">
            <v>15.843699999999998</v>
          </cell>
          <cell r="BP109">
            <v>13.094799999999999</v>
          </cell>
          <cell r="BV109">
            <v>9.5119746911624965</v>
          </cell>
          <cell r="CB109">
            <v>1427.423</v>
          </cell>
          <cell r="CL109">
            <v>1.8803000000000003</v>
          </cell>
          <cell r="DO109">
            <v>109</v>
          </cell>
        </row>
        <row r="110">
          <cell r="A110" t="str">
            <v>Durham-Chapel Hill, NC Metro Area</v>
          </cell>
          <cell r="B110">
            <v>4802.3195897347823</v>
          </cell>
          <cell r="C110">
            <v>5066.9313600721025</v>
          </cell>
          <cell r="D110">
            <v>2984.4463972262056</v>
          </cell>
          <cell r="E110">
            <v>2119.2045902724617</v>
          </cell>
          <cell r="F110">
            <v>1700.5371286619531</v>
          </cell>
          <cell r="G110">
            <v>1613.8034507451398</v>
          </cell>
          <cell r="H110">
            <v>667.04025791132369</v>
          </cell>
          <cell r="I110">
            <v>853.08333080368106</v>
          </cell>
          <cell r="J110">
            <v>1463.3200639970428</v>
          </cell>
          <cell r="K110">
            <v>1366.0411890164646</v>
          </cell>
          <cell r="L110">
            <v>5786.9168750717181</v>
          </cell>
          <cell r="M110">
            <v>1262.1301685706326</v>
          </cell>
          <cell r="N110">
            <v>1952.8409397628386</v>
          </cell>
          <cell r="O110">
            <v>454.93644322769586</v>
          </cell>
          <cell r="P110">
            <v>119.58783860935243</v>
          </cell>
          <cell r="Q110">
            <v>293.58539999999999</v>
          </cell>
          <cell r="S110">
            <v>103.82094581550804</v>
          </cell>
          <cell r="T110">
            <v>184.66631503906251</v>
          </cell>
          <cell r="U110">
            <v>68.761272854117365</v>
          </cell>
          <cell r="V110">
            <v>83.651300000000006</v>
          </cell>
          <cell r="X110">
            <v>37.942300000000003</v>
          </cell>
          <cell r="Y110">
            <v>97.191600000000008</v>
          </cell>
          <cell r="AA110">
            <v>85.347899999999996</v>
          </cell>
          <cell r="AC110">
            <v>832.62959999999998</v>
          </cell>
          <cell r="AE110">
            <v>263.64362056569149</v>
          </cell>
          <cell r="AH110">
            <v>60.523499999999999</v>
          </cell>
          <cell r="AJ110">
            <v>40.197200000000002</v>
          </cell>
          <cell r="AL110">
            <v>566.13675811816199</v>
          </cell>
          <cell r="AN110">
            <v>48.029299999999999</v>
          </cell>
          <cell r="AR110">
            <v>43.707500000000003</v>
          </cell>
          <cell r="DO110">
            <v>110</v>
          </cell>
        </row>
        <row r="111">
          <cell r="A111" t="str">
            <v>Eau Claire, WI Metro Area</v>
          </cell>
          <cell r="B111">
            <v>3711.8624659223137</v>
          </cell>
          <cell r="C111">
            <v>3488.009284783227</v>
          </cell>
          <cell r="D111">
            <v>1607.9071048913042</v>
          </cell>
          <cell r="E111">
            <v>1225.16999843249</v>
          </cell>
          <cell r="F111">
            <v>195.30921228776478</v>
          </cell>
          <cell r="I111">
            <v>250.93116615214996</v>
          </cell>
          <cell r="J111">
            <v>39.008600000000001</v>
          </cell>
          <cell r="K111">
            <v>2575.2943</v>
          </cell>
          <cell r="L111">
            <v>608.97720000000004</v>
          </cell>
          <cell r="M111">
            <v>172.16050000000001</v>
          </cell>
          <cell r="O111">
            <v>25.380500000000001</v>
          </cell>
          <cell r="T111">
            <v>52.954700000000003</v>
          </cell>
          <cell r="W111">
            <v>40.049300000000002</v>
          </cell>
          <cell r="X111">
            <v>31.253010366269166</v>
          </cell>
          <cell r="AC111">
            <v>19.5198</v>
          </cell>
          <cell r="AF111">
            <v>22.437799999999999</v>
          </cell>
          <cell r="DO111">
            <v>111</v>
          </cell>
        </row>
        <row r="112">
          <cell r="A112" t="str">
            <v>El Centro, CA Metro Area</v>
          </cell>
          <cell r="B112">
            <v>8114.8461134654235</v>
          </cell>
          <cell r="C112">
            <v>3652.6454303346513</v>
          </cell>
          <cell r="D112">
            <v>255.19509999999997</v>
          </cell>
          <cell r="E112">
            <v>122.38188856452726</v>
          </cell>
          <cell r="H112">
            <v>46.868200000000002</v>
          </cell>
          <cell r="J112">
            <v>2594.9057444310552</v>
          </cell>
          <cell r="K112">
            <v>8073.6962533662636</v>
          </cell>
          <cell r="L112">
            <v>12.843299999999999</v>
          </cell>
          <cell r="M112">
            <v>1028.4994999999999</v>
          </cell>
          <cell r="N112">
            <v>1914.4421068841268</v>
          </cell>
          <cell r="O112">
            <v>2860.5049818751986</v>
          </cell>
          <cell r="Q112">
            <v>5.6817000000000002</v>
          </cell>
          <cell r="S112">
            <v>34.954099999999997</v>
          </cell>
          <cell r="AA112">
            <v>52.020600000000002</v>
          </cell>
          <cell r="AB112">
            <v>34.426400000000001</v>
          </cell>
          <cell r="AM112">
            <v>0.66400000000000003</v>
          </cell>
          <cell r="AU112">
            <v>33.041899999999998</v>
          </cell>
          <cell r="BE112">
            <v>77.034999999999997</v>
          </cell>
          <cell r="DO112">
            <v>112</v>
          </cell>
        </row>
        <row r="113">
          <cell r="A113" t="str">
            <v>Elizabethtown, KY Metro Area</v>
          </cell>
          <cell r="B113">
            <v>2388.7469945417447</v>
          </cell>
          <cell r="C113">
            <v>1412.099930980316</v>
          </cell>
          <cell r="D113">
            <v>1376.8820000000001</v>
          </cell>
          <cell r="E113">
            <v>109.7582</v>
          </cell>
          <cell r="F113">
            <v>169.2687</v>
          </cell>
          <cell r="I113">
            <v>263.00665879432626</v>
          </cell>
          <cell r="J113">
            <v>555.10633004627982</v>
          </cell>
          <cell r="K113">
            <v>1976.441</v>
          </cell>
          <cell r="L113">
            <v>264.6956662911565</v>
          </cell>
          <cell r="M113">
            <v>1600.0685298188573</v>
          </cell>
          <cell r="P113">
            <v>1320.7608</v>
          </cell>
          <cell r="Q113">
            <v>496.78001016498132</v>
          </cell>
          <cell r="R113">
            <v>0.25169999999999998</v>
          </cell>
          <cell r="S113">
            <v>31.659500000000001</v>
          </cell>
          <cell r="W113">
            <v>276.2396</v>
          </cell>
          <cell r="DO113">
            <v>113</v>
          </cell>
        </row>
        <row r="114">
          <cell r="A114" t="str">
            <v>Elkhart-Goshen, IN Metro Area</v>
          </cell>
          <cell r="B114">
            <v>6387.0368856600262</v>
          </cell>
          <cell r="C114">
            <v>2218.1004391602082</v>
          </cell>
          <cell r="D114">
            <v>1734.3621743829067</v>
          </cell>
          <cell r="E114">
            <v>852.12498212718924</v>
          </cell>
          <cell r="F114">
            <v>570.97528630944748</v>
          </cell>
          <cell r="G114">
            <v>906.04099999999994</v>
          </cell>
          <cell r="I114">
            <v>232.26125136293123</v>
          </cell>
          <cell r="J114">
            <v>1337.6024514932781</v>
          </cell>
          <cell r="K114">
            <v>1560.7499600237247</v>
          </cell>
          <cell r="L114">
            <v>5469.9970000000003</v>
          </cell>
          <cell r="M114">
            <v>767.5536840151957</v>
          </cell>
          <cell r="N114">
            <v>182.55099999999999</v>
          </cell>
          <cell r="O114">
            <v>458.54570000000001</v>
          </cell>
          <cell r="Q114">
            <v>106.92053447830102</v>
          </cell>
          <cell r="R114">
            <v>898.59458702873269</v>
          </cell>
          <cell r="DO114">
            <v>114</v>
          </cell>
        </row>
        <row r="115">
          <cell r="A115" t="str">
            <v>Elmira, NY Metro Area</v>
          </cell>
          <cell r="B115">
            <v>6184.2089257767066</v>
          </cell>
          <cell r="C115">
            <v>3347.6905121325663</v>
          </cell>
          <cell r="D115">
            <v>3461.17173647241</v>
          </cell>
          <cell r="E115">
            <v>1386.0076078962534</v>
          </cell>
          <cell r="F115">
            <v>523.24413371350374</v>
          </cell>
          <cell r="G115">
            <v>2683.7730999999999</v>
          </cell>
          <cell r="H115">
            <v>220.37079914753195</v>
          </cell>
          <cell r="I115">
            <v>45.864400000000003</v>
          </cell>
          <cell r="L115">
            <v>77.795100000000005</v>
          </cell>
          <cell r="M115">
            <v>41.578699999999998</v>
          </cell>
          <cell r="DO115">
            <v>115</v>
          </cell>
        </row>
        <row r="116">
          <cell r="A116" t="str">
            <v>El Paso, TX Metro Area</v>
          </cell>
          <cell r="B116">
            <v>9704.0816713146633</v>
          </cell>
          <cell r="C116">
            <v>4964.5184724571936</v>
          </cell>
          <cell r="D116">
            <v>4001.1256953370539</v>
          </cell>
          <cell r="E116">
            <v>5602.1653706405004</v>
          </cell>
          <cell r="F116">
            <v>4996.7296251826101</v>
          </cell>
          <cell r="G116">
            <v>4293.5029042006718</v>
          </cell>
          <cell r="H116">
            <v>3466.2315392417945</v>
          </cell>
          <cell r="I116">
            <v>5404.9121190532605</v>
          </cell>
          <cell r="J116">
            <v>6170.9365251638092</v>
          </cell>
          <cell r="K116">
            <v>4860.835063172507</v>
          </cell>
          <cell r="L116">
            <v>5418.1864437435934</v>
          </cell>
          <cell r="M116">
            <v>6128.9213587714075</v>
          </cell>
          <cell r="N116">
            <v>4373.4175456536404</v>
          </cell>
          <cell r="O116">
            <v>1433.8726534115522</v>
          </cell>
          <cell r="P116">
            <v>567.67730145319047</v>
          </cell>
          <cell r="Q116">
            <v>960.90127414077915</v>
          </cell>
          <cell r="R116">
            <v>440.53442469176571</v>
          </cell>
          <cell r="S116">
            <v>1560.3047845445633</v>
          </cell>
          <cell r="T116">
            <v>312.63864731707321</v>
          </cell>
          <cell r="U116">
            <v>302.50823223363983</v>
          </cell>
          <cell r="V116">
            <v>232.36349999999999</v>
          </cell>
          <cell r="W116">
            <v>155.3655</v>
          </cell>
          <cell r="X116">
            <v>50.552900000000001</v>
          </cell>
          <cell r="AA116">
            <v>20.267871998712582</v>
          </cell>
          <cell r="AB116">
            <v>273.15780000000001</v>
          </cell>
          <cell r="AE116">
            <v>300.572</v>
          </cell>
          <cell r="AH116">
            <v>68.615799999999993</v>
          </cell>
          <cell r="DO116">
            <v>116</v>
          </cell>
        </row>
        <row r="117">
          <cell r="A117" t="str">
            <v>Erie, PA Metro Area</v>
          </cell>
          <cell r="B117">
            <v>7943.2315917147052</v>
          </cell>
          <cell r="C117">
            <v>9338.5086667761407</v>
          </cell>
          <cell r="D117">
            <v>4771.7449460489997</v>
          </cell>
          <cell r="E117">
            <v>3071.6702140322059</v>
          </cell>
          <cell r="F117">
            <v>1939.6104323504828</v>
          </cell>
          <cell r="G117">
            <v>1744.4205656737902</v>
          </cell>
          <cell r="H117">
            <v>1050.7148575714177</v>
          </cell>
          <cell r="I117">
            <v>190.03645416466057</v>
          </cell>
          <cell r="K117">
            <v>384.28792848184486</v>
          </cell>
          <cell r="L117">
            <v>246.83709999999999</v>
          </cell>
          <cell r="O117">
            <v>90.231399999999994</v>
          </cell>
          <cell r="P117">
            <v>970.33166455753201</v>
          </cell>
          <cell r="Q117">
            <v>793.81662162535611</v>
          </cell>
          <cell r="R117">
            <v>83.099199999999996</v>
          </cell>
          <cell r="S117">
            <v>3042.6604000000002</v>
          </cell>
          <cell r="U117">
            <v>53.75410934065934</v>
          </cell>
          <cell r="V117">
            <v>1894.4532000000002</v>
          </cell>
          <cell r="W117">
            <v>543.5886979555022</v>
          </cell>
          <cell r="X117">
            <v>2714.5153</v>
          </cell>
          <cell r="Y117">
            <v>47.766100000000002</v>
          </cell>
          <cell r="Z117">
            <v>46.136999999999993</v>
          </cell>
          <cell r="AB117">
            <v>1145.1763000000001</v>
          </cell>
          <cell r="DO117">
            <v>117</v>
          </cell>
        </row>
        <row r="118">
          <cell r="A118" t="str">
            <v>Eugene-Springfield, OR Metro Area</v>
          </cell>
          <cell r="B118">
            <v>8027.1294635754884</v>
          </cell>
          <cell r="C118">
            <v>4466.7940508911988</v>
          </cell>
          <cell r="D118">
            <v>4047.7451186937233</v>
          </cell>
          <cell r="E118">
            <v>2981.24403040177</v>
          </cell>
          <cell r="F118">
            <v>3312.0196597826562</v>
          </cell>
          <cell r="G118">
            <v>1986.0262525134135</v>
          </cell>
          <cell r="H118">
            <v>76.421771612595421</v>
          </cell>
          <cell r="I118">
            <v>3414.2748140627136</v>
          </cell>
          <cell r="J118">
            <v>528.17501390249095</v>
          </cell>
          <cell r="K118">
            <v>557.58883322576924</v>
          </cell>
          <cell r="L118">
            <v>111.9776</v>
          </cell>
          <cell r="N118">
            <v>135.57685440153514</v>
          </cell>
          <cell r="O118">
            <v>251.00777677564827</v>
          </cell>
          <cell r="P118">
            <v>5.5397999999999996</v>
          </cell>
          <cell r="Q118">
            <v>53.709619267170261</v>
          </cell>
          <cell r="R118">
            <v>13.312300000000002</v>
          </cell>
          <cell r="T118">
            <v>173.67939694756063</v>
          </cell>
          <cell r="Z118">
            <v>5.676278435517971</v>
          </cell>
          <cell r="AH118">
            <v>6.7064000000000004</v>
          </cell>
          <cell r="AM118">
            <v>5.1619000000000002</v>
          </cell>
          <cell r="AX118">
            <v>8.9474</v>
          </cell>
          <cell r="AZ118">
            <v>873.82976168999471</v>
          </cell>
          <cell r="BA118">
            <v>1136.0977338802907</v>
          </cell>
          <cell r="DO118">
            <v>118</v>
          </cell>
        </row>
        <row r="119">
          <cell r="A119" t="str">
            <v>Evansville, IN-KY Metro Area</v>
          </cell>
          <cell r="B119">
            <v>4496.7877978428742</v>
          </cell>
          <cell r="C119">
            <v>5168.0873295480642</v>
          </cell>
          <cell r="D119">
            <v>3592.1100848586789</v>
          </cell>
          <cell r="E119">
            <v>2995.9350082190667</v>
          </cell>
          <cell r="F119">
            <v>1920.4166171790964</v>
          </cell>
          <cell r="G119">
            <v>1331.3694788983453</v>
          </cell>
          <cell r="H119">
            <v>338.97163530880511</v>
          </cell>
          <cell r="I119">
            <v>838.25598815105741</v>
          </cell>
          <cell r="J119">
            <v>1830.3826716961898</v>
          </cell>
          <cell r="K119">
            <v>1419.9488464718129</v>
          </cell>
          <cell r="L119">
            <v>1300.9866055152518</v>
          </cell>
          <cell r="M119">
            <v>663.05677508265717</v>
          </cell>
          <cell r="N119">
            <v>59.583899999999993</v>
          </cell>
          <cell r="Q119">
            <v>49.766548165448654</v>
          </cell>
          <cell r="R119">
            <v>428.34829083225458</v>
          </cell>
          <cell r="S119">
            <v>312.0334228937362</v>
          </cell>
          <cell r="T119">
            <v>1132.533969969385</v>
          </cell>
          <cell r="U119">
            <v>28.886099999999999</v>
          </cell>
          <cell r="V119">
            <v>30.793600000000005</v>
          </cell>
          <cell r="X119">
            <v>28.803699999999999</v>
          </cell>
          <cell r="AA119">
            <v>56.65189171718648</v>
          </cell>
          <cell r="AB119">
            <v>1186.7909289436529</v>
          </cell>
          <cell r="AC119">
            <v>37.6753</v>
          </cell>
          <cell r="AF119">
            <v>31.075900000000001</v>
          </cell>
          <cell r="AG119">
            <v>29.393100000000004</v>
          </cell>
          <cell r="AM119">
            <v>36.528300000000002</v>
          </cell>
          <cell r="AP119">
            <v>82.812899999999999</v>
          </cell>
          <cell r="DO119">
            <v>119</v>
          </cell>
        </row>
        <row r="120">
          <cell r="A120" t="str">
            <v>Fairbanks, AK Metro Area</v>
          </cell>
          <cell r="B120">
            <v>2779.7062435755383</v>
          </cell>
          <cell r="C120">
            <v>1726.4242892999662</v>
          </cell>
          <cell r="D120">
            <v>1738.0198811419982</v>
          </cell>
          <cell r="E120">
            <v>1531.3818186759793</v>
          </cell>
          <cell r="G120">
            <v>78.018985880474446</v>
          </cell>
          <cell r="I120">
            <v>183.19843511964947</v>
          </cell>
          <cell r="N120">
            <v>385.52030000000002</v>
          </cell>
          <cell r="O120">
            <v>145.1557</v>
          </cell>
          <cell r="W120">
            <v>12.0633</v>
          </cell>
          <cell r="AG120">
            <v>0.84240000000000004</v>
          </cell>
          <cell r="DO120">
            <v>120</v>
          </cell>
        </row>
        <row r="121">
          <cell r="A121" t="str">
            <v>Fargo, ND-MN Metro Area</v>
          </cell>
          <cell r="B121">
            <v>5019.3432107359076</v>
          </cell>
          <cell r="C121">
            <v>5174.3233027142533</v>
          </cell>
          <cell r="D121">
            <v>3906.2168004571108</v>
          </cell>
          <cell r="E121">
            <v>2057.6153675706032</v>
          </cell>
          <cell r="F121">
            <v>2875.0310788102774</v>
          </cell>
          <cell r="G121">
            <v>1946.1169594880457</v>
          </cell>
          <cell r="H121">
            <v>513.19957359658486</v>
          </cell>
          <cell r="J121">
            <v>30.665900000000004</v>
          </cell>
          <cell r="L121">
            <v>7.8444000000000003</v>
          </cell>
          <cell r="S121">
            <v>10.851000000000001</v>
          </cell>
          <cell r="V121">
            <v>9.9095999999999993</v>
          </cell>
          <cell r="W121">
            <v>15.741899999999999</v>
          </cell>
          <cell r="X121">
            <v>5.2348999999999997</v>
          </cell>
          <cell r="Y121">
            <v>16.041899999999998</v>
          </cell>
          <cell r="AL121">
            <v>3.6219000000000001</v>
          </cell>
          <cell r="DO121">
            <v>121</v>
          </cell>
        </row>
        <row r="122">
          <cell r="A122" t="str">
            <v>Farmington, NM Metro Area</v>
          </cell>
          <cell r="B122">
            <v>1424.7670690425928</v>
          </cell>
          <cell r="C122">
            <v>4147.0782827465237</v>
          </cell>
          <cell r="D122">
            <v>1632.9370099025255</v>
          </cell>
          <cell r="E122">
            <v>421.27449999999999</v>
          </cell>
          <cell r="F122">
            <v>660.22801356449372</v>
          </cell>
          <cell r="G122">
            <v>586.62139999999999</v>
          </cell>
          <cell r="H122">
            <v>420.81209999999999</v>
          </cell>
          <cell r="I122">
            <v>183.64599999999999</v>
          </cell>
          <cell r="J122">
            <v>174.38031216716627</v>
          </cell>
          <cell r="K122">
            <v>141.52095677052716</v>
          </cell>
          <cell r="L122">
            <v>7.7061000000000011</v>
          </cell>
          <cell r="N122">
            <v>511.31358863752342</v>
          </cell>
          <cell r="O122">
            <v>397.94860363462453</v>
          </cell>
          <cell r="P122">
            <v>226.40799999999999</v>
          </cell>
          <cell r="U122">
            <v>17.5061</v>
          </cell>
          <cell r="V122">
            <v>7.3519283394007289</v>
          </cell>
          <cell r="X122">
            <v>3.5486999999999997</v>
          </cell>
          <cell r="AB122">
            <v>334.2843886583679</v>
          </cell>
          <cell r="AE122">
            <v>5.5103</v>
          </cell>
          <cell r="AR122">
            <v>5.2782</v>
          </cell>
          <cell r="BE122">
            <v>5.8620999999999999</v>
          </cell>
          <cell r="DO122">
            <v>122</v>
          </cell>
        </row>
        <row r="123">
          <cell r="A123" t="str">
            <v>Fayetteville, NC Metro Area</v>
          </cell>
          <cell r="B123">
            <v>1481.0452895971937</v>
          </cell>
          <cell r="C123">
            <v>1755.8235999999999</v>
          </cell>
          <cell r="D123">
            <v>2353.4587423367238</v>
          </cell>
          <cell r="E123">
            <v>1037.1772886026415</v>
          </cell>
          <cell r="F123">
            <v>2229.0175276946857</v>
          </cell>
          <cell r="G123">
            <v>2630.6266557816657</v>
          </cell>
          <cell r="H123">
            <v>2395.1918871343946</v>
          </cell>
          <cell r="I123">
            <v>2494.9941485827289</v>
          </cell>
          <cell r="J123">
            <v>611.86138830051743</v>
          </cell>
          <cell r="K123">
            <v>2225.9361372778176</v>
          </cell>
          <cell r="L123">
            <v>1079.5536296065645</v>
          </cell>
          <cell r="M123">
            <v>274.01463102354319</v>
          </cell>
          <cell r="N123">
            <v>313.85550000000001</v>
          </cell>
          <cell r="O123">
            <v>40.468600000000002</v>
          </cell>
          <cell r="P123">
            <v>276.36533416742037</v>
          </cell>
          <cell r="S123">
            <v>76.381799999999998</v>
          </cell>
          <cell r="U123">
            <v>841.49159999999995</v>
          </cell>
          <cell r="V123">
            <v>0</v>
          </cell>
          <cell r="X123">
            <v>75.275099999999995</v>
          </cell>
          <cell r="Z123">
            <v>53.866700000000002</v>
          </cell>
          <cell r="AB123">
            <v>86.267799999999994</v>
          </cell>
          <cell r="DO123">
            <v>123</v>
          </cell>
        </row>
        <row r="124">
          <cell r="A124" t="str">
            <v>Fayetteville-Springdale-Rogers, AR-MO Metro Area</v>
          </cell>
          <cell r="B124">
            <v>4955.7808999999997</v>
          </cell>
          <cell r="C124">
            <v>2015.3100365097857</v>
          </cell>
          <cell r="D124">
            <v>2491.6877749206351</v>
          </cell>
          <cell r="E124">
            <v>686.7192</v>
          </cell>
          <cell r="F124">
            <v>862.00106643763195</v>
          </cell>
          <cell r="G124">
            <v>167.01928966611655</v>
          </cell>
          <cell r="H124">
            <v>710.6307620823103</v>
          </cell>
          <cell r="I124">
            <v>1747.6778520412915</v>
          </cell>
          <cell r="J124">
            <v>2122.2875901184602</v>
          </cell>
          <cell r="K124">
            <v>1431.9530293820558</v>
          </cell>
          <cell r="M124">
            <v>98.407078173270648</v>
          </cell>
          <cell r="N124">
            <v>422.7287</v>
          </cell>
          <cell r="O124">
            <v>200.40308611250211</v>
          </cell>
          <cell r="Q124">
            <v>78.607084485064647</v>
          </cell>
          <cell r="R124">
            <v>1001.3900680872028</v>
          </cell>
          <cell r="S124">
            <v>418.37849230962559</v>
          </cell>
          <cell r="T124">
            <v>1206.4581035289689</v>
          </cell>
          <cell r="U124">
            <v>1422.0173391040855</v>
          </cell>
          <cell r="V124">
            <v>740.12720449036658</v>
          </cell>
          <cell r="W124">
            <v>713.05877311019185</v>
          </cell>
          <cell r="X124">
            <v>780.45411990206662</v>
          </cell>
          <cell r="Y124">
            <v>396.23370246251744</v>
          </cell>
          <cell r="Z124">
            <v>106.342</v>
          </cell>
          <cell r="AA124">
            <v>61.500500000000009</v>
          </cell>
          <cell r="AB124">
            <v>107.79739644076059</v>
          </cell>
          <cell r="AC124">
            <v>461.73727243779365</v>
          </cell>
          <cell r="AD124">
            <v>95.568700000000007</v>
          </cell>
          <cell r="AE124">
            <v>415.31966444601517</v>
          </cell>
          <cell r="AF124">
            <v>115.62968252427184</v>
          </cell>
          <cell r="AG124">
            <v>9.9254999999999995</v>
          </cell>
          <cell r="AM124">
            <v>21.602900000000002</v>
          </cell>
          <cell r="AN124">
            <v>57.372799999999998</v>
          </cell>
          <cell r="AR124">
            <v>69.698099999999997</v>
          </cell>
          <cell r="AX124">
            <v>43.572600000000001</v>
          </cell>
          <cell r="DO124">
            <v>124</v>
          </cell>
        </row>
        <row r="125">
          <cell r="A125" t="str">
            <v>Flagstaff, AZ Metro Area</v>
          </cell>
          <cell r="B125">
            <v>805.99699999999996</v>
          </cell>
          <cell r="C125">
            <v>2295.3372310525365</v>
          </cell>
          <cell r="D125">
            <v>2989.6643845387307</v>
          </cell>
          <cell r="E125">
            <v>1325.2832000000001</v>
          </cell>
          <cell r="F125">
            <v>532.41767097844115</v>
          </cell>
          <cell r="I125">
            <v>2.8862999999999999</v>
          </cell>
          <cell r="J125">
            <v>202.09360000000001</v>
          </cell>
          <cell r="M125">
            <v>15.824499999999999</v>
          </cell>
          <cell r="Z125">
            <v>35.498933820947926</v>
          </cell>
          <cell r="AF125">
            <v>31.966799999999999</v>
          </cell>
          <cell r="AP125">
            <v>1.5521000000000003</v>
          </cell>
          <cell r="AT125">
            <v>1.0880000000000001</v>
          </cell>
          <cell r="BR125">
            <v>403.84947061300306</v>
          </cell>
          <cell r="BS125">
            <v>2.8813</v>
          </cell>
          <cell r="CU125">
            <v>4.6813000000000002</v>
          </cell>
          <cell r="CV125">
            <v>3.5165999999999999</v>
          </cell>
          <cell r="CX125">
            <v>295.41969999999998</v>
          </cell>
          <cell r="CZ125">
            <v>0.67169999999999996</v>
          </cell>
          <cell r="DO125">
            <v>125</v>
          </cell>
        </row>
        <row r="126">
          <cell r="A126" t="str">
            <v>Flint, MI Metro Area</v>
          </cell>
          <cell r="B126">
            <v>3058.0677823439873</v>
          </cell>
          <cell r="C126">
            <v>4056.2707797740904</v>
          </cell>
          <cell r="D126">
            <v>4961.629689922368</v>
          </cell>
          <cell r="E126">
            <v>3627.102434092149</v>
          </cell>
          <cell r="F126">
            <v>3129.5661670081081</v>
          </cell>
          <cell r="G126">
            <v>1379.3617977438198</v>
          </cell>
          <cell r="H126">
            <v>793.21731830478961</v>
          </cell>
          <cell r="I126">
            <v>1241.2379432196522</v>
          </cell>
          <cell r="J126">
            <v>1294.6333099297201</v>
          </cell>
          <cell r="K126">
            <v>641.99508634206018</v>
          </cell>
          <cell r="L126">
            <v>267.59532554874789</v>
          </cell>
          <cell r="M126">
            <v>718.10191642473967</v>
          </cell>
          <cell r="N126">
            <v>235.00972011763628</v>
          </cell>
          <cell r="O126">
            <v>311.81048911205892</v>
          </cell>
          <cell r="P126">
            <v>1330.66859952187</v>
          </cell>
          <cell r="Q126">
            <v>935.54929003487018</v>
          </cell>
          <cell r="R126">
            <v>321.86204562557356</v>
          </cell>
          <cell r="DO126">
            <v>126</v>
          </cell>
        </row>
        <row r="127">
          <cell r="A127" t="str">
            <v>Florence, SC Metro Area</v>
          </cell>
          <cell r="B127">
            <v>1837.3961022173173</v>
          </cell>
          <cell r="C127">
            <v>1883.8316493307332</v>
          </cell>
          <cell r="D127">
            <v>1156.5380352519439</v>
          </cell>
          <cell r="E127">
            <v>1506.9510574381459</v>
          </cell>
          <cell r="F127">
            <v>904.08479262912624</v>
          </cell>
          <cell r="G127">
            <v>183.67158387863986</v>
          </cell>
          <cell r="H127">
            <v>682.3281455986878</v>
          </cell>
          <cell r="I127">
            <v>255.6182447783562</v>
          </cell>
          <cell r="K127">
            <v>466.41121131265839</v>
          </cell>
          <cell r="L127">
            <v>272.72537163599947</v>
          </cell>
          <cell r="N127">
            <v>36.4758</v>
          </cell>
          <cell r="O127">
            <v>66.868743764387276</v>
          </cell>
          <cell r="Q127">
            <v>63.6678</v>
          </cell>
          <cell r="R127">
            <v>69.892200000000003</v>
          </cell>
          <cell r="T127">
            <v>46.858235135135132</v>
          </cell>
          <cell r="U127">
            <v>67.950999999999993</v>
          </cell>
          <cell r="V127">
            <v>502.41087365945441</v>
          </cell>
          <cell r="W127">
            <v>768.33138144171778</v>
          </cell>
          <cell r="X127">
            <v>402.25775586472213</v>
          </cell>
          <cell r="Y127">
            <v>209.25579999999997</v>
          </cell>
          <cell r="Z127">
            <v>116.0720293614699</v>
          </cell>
          <cell r="AF127">
            <v>69.785399999999996</v>
          </cell>
          <cell r="DO127">
            <v>127</v>
          </cell>
        </row>
        <row r="128">
          <cell r="A128" t="str">
            <v>Florence-Muscle Shoals, AL Metro Area</v>
          </cell>
          <cell r="B128">
            <v>2209.4970829222252</v>
          </cell>
          <cell r="C128">
            <v>1339.3094475105486</v>
          </cell>
          <cell r="D128">
            <v>1920.4513470061177</v>
          </cell>
          <cell r="E128">
            <v>1499.6363249464569</v>
          </cell>
          <cell r="F128">
            <v>842.24877821382199</v>
          </cell>
          <cell r="G128">
            <v>317.93906609621598</v>
          </cell>
          <cell r="I128">
            <v>41.809699999999999</v>
          </cell>
          <cell r="J128">
            <v>103.73100000000001</v>
          </cell>
          <cell r="K128">
            <v>97.974400000000003</v>
          </cell>
          <cell r="L128">
            <v>92.692570104683952</v>
          </cell>
          <cell r="M128">
            <v>196.21010000000001</v>
          </cell>
          <cell r="N128">
            <v>69.057877597173146</v>
          </cell>
          <cell r="P128">
            <v>100.72709999999999</v>
          </cell>
          <cell r="S128">
            <v>86.999300000000005</v>
          </cell>
          <cell r="T128">
            <v>18.457361391460136</v>
          </cell>
          <cell r="W128">
            <v>112.73710000000001</v>
          </cell>
          <cell r="Y128">
            <v>56.338799999999999</v>
          </cell>
          <cell r="DO128">
            <v>128</v>
          </cell>
        </row>
        <row r="129">
          <cell r="A129" t="str">
            <v>Fond du Lac, WI Metro Area</v>
          </cell>
          <cell r="B129">
            <v>5748.6009145960888</v>
          </cell>
          <cell r="C129">
            <v>2271.970453010525</v>
          </cell>
          <cell r="E129">
            <v>862.50130000000013</v>
          </cell>
          <cell r="F129">
            <v>125.22539999999999</v>
          </cell>
          <cell r="I129">
            <v>47.232816848348833</v>
          </cell>
          <cell r="M129">
            <v>50.566600000000001</v>
          </cell>
          <cell r="Q129">
            <v>80.331999999999994</v>
          </cell>
          <cell r="R129">
            <v>86.436371518033155</v>
          </cell>
          <cell r="U129">
            <v>145.10390000000001</v>
          </cell>
          <cell r="V129">
            <v>386.01590000000004</v>
          </cell>
          <cell r="DO129">
            <v>129</v>
          </cell>
        </row>
        <row r="130">
          <cell r="A130" t="str">
            <v>Fort Collins-Loveland, CO Metro Area</v>
          </cell>
          <cell r="B130">
            <v>4759.3072051352701</v>
          </cell>
          <cell r="C130">
            <v>4997.2582934147458</v>
          </cell>
          <cell r="D130">
            <v>4283.5013397017219</v>
          </cell>
          <cell r="E130">
            <v>4575.5548163269623</v>
          </cell>
          <cell r="F130">
            <v>2599.1244912330699</v>
          </cell>
          <cell r="G130">
            <v>1720.1612199091987</v>
          </cell>
          <cell r="H130">
            <v>354.83415090909091</v>
          </cell>
          <cell r="I130">
            <v>191.24209999999999</v>
          </cell>
          <cell r="J130">
            <v>112.17804122086571</v>
          </cell>
          <cell r="L130">
            <v>3301.575745089729</v>
          </cell>
          <cell r="M130">
            <v>1419.8867688004191</v>
          </cell>
          <cell r="N130">
            <v>3151.3969599597026</v>
          </cell>
          <cell r="O130">
            <v>964.57140455103661</v>
          </cell>
          <cell r="P130">
            <v>2536.4324833553496</v>
          </cell>
          <cell r="Q130">
            <v>1986.5405597656249</v>
          </cell>
          <cell r="R130">
            <v>2.9716</v>
          </cell>
          <cell r="U130">
            <v>513.12452155656115</v>
          </cell>
          <cell r="V130">
            <v>13.7088</v>
          </cell>
          <cell r="AB130">
            <v>256.59469999999999</v>
          </cell>
          <cell r="AD130">
            <v>119.2213592063945</v>
          </cell>
          <cell r="AE130">
            <v>0.4395</v>
          </cell>
          <cell r="DO130">
            <v>130</v>
          </cell>
        </row>
        <row r="131">
          <cell r="A131" t="str">
            <v>Fort Smith, AR-OK Metro Area</v>
          </cell>
          <cell r="B131">
            <v>1027.5830000000001</v>
          </cell>
          <cell r="C131">
            <v>4510.9602029951102</v>
          </cell>
          <cell r="D131">
            <v>2145.129834104594</v>
          </cell>
          <cell r="E131">
            <v>1725.4232965497313</v>
          </cell>
          <cell r="F131">
            <v>366.34501227197353</v>
          </cell>
          <cell r="G131">
            <v>984.68165733321723</v>
          </cell>
          <cell r="H131">
            <v>1036.5577617194672</v>
          </cell>
          <cell r="J131">
            <v>153.04069999999999</v>
          </cell>
          <cell r="K131">
            <v>77.553419179333829</v>
          </cell>
          <cell r="L131">
            <v>106.91036473029045</v>
          </cell>
          <cell r="M131">
            <v>120.9</v>
          </cell>
          <cell r="O131">
            <v>153.34831301703895</v>
          </cell>
          <cell r="P131">
            <v>27.2165</v>
          </cell>
          <cell r="Q131">
            <v>185.16650846953937</v>
          </cell>
          <cell r="R131">
            <v>50.286200000000001</v>
          </cell>
          <cell r="S131">
            <v>41.735799999999998</v>
          </cell>
          <cell r="U131">
            <v>53.220122051282054</v>
          </cell>
          <cell r="V131">
            <v>486.80950000000001</v>
          </cell>
          <cell r="W131">
            <v>32.173020497362472</v>
          </cell>
          <cell r="X131">
            <v>80.449481551382476</v>
          </cell>
          <cell r="Z131">
            <v>544.55020000000002</v>
          </cell>
          <cell r="AA131">
            <v>245.7175</v>
          </cell>
          <cell r="AB131">
            <v>33.210900000000002</v>
          </cell>
          <cell r="AH131">
            <v>11.0319</v>
          </cell>
          <cell r="AI131">
            <v>37.245699999999999</v>
          </cell>
          <cell r="AK131">
            <v>90.4983</v>
          </cell>
          <cell r="AL131">
            <v>26.700311337394311</v>
          </cell>
          <cell r="AM131">
            <v>25.351400000000002</v>
          </cell>
          <cell r="BE131">
            <v>6.9146999999999998</v>
          </cell>
          <cell r="DO131">
            <v>131</v>
          </cell>
        </row>
        <row r="132">
          <cell r="A132" t="str">
            <v>Fort Wayne, IN Metro Area</v>
          </cell>
          <cell r="B132">
            <v>3957.9466556365142</v>
          </cell>
          <cell r="C132">
            <v>5412.8087302979811</v>
          </cell>
          <cell r="D132">
            <v>3474.8458110860956</v>
          </cell>
          <cell r="E132">
            <v>3428.664175298793</v>
          </cell>
          <cell r="F132">
            <v>2271.7261914067935</v>
          </cell>
          <cell r="G132">
            <v>1614.8774885663629</v>
          </cell>
          <cell r="H132">
            <v>1804.4255626156871</v>
          </cell>
          <cell r="I132">
            <v>1099.5305465422114</v>
          </cell>
          <cell r="J132">
            <v>250.49573980848152</v>
          </cell>
          <cell r="K132">
            <v>348.31878354779411</v>
          </cell>
          <cell r="L132">
            <v>132.39162995927865</v>
          </cell>
          <cell r="M132">
            <v>39.2408</v>
          </cell>
          <cell r="N132">
            <v>157.55758054095824</v>
          </cell>
          <cell r="P132">
            <v>104.36482972103005</v>
          </cell>
          <cell r="Q132">
            <v>97.082085186708326</v>
          </cell>
          <cell r="R132">
            <v>79.447699999999998</v>
          </cell>
          <cell r="S132">
            <v>53.683500000000002</v>
          </cell>
          <cell r="T132">
            <v>282.10753403924622</v>
          </cell>
          <cell r="X132">
            <v>214.56939047619048</v>
          </cell>
          <cell r="Y132">
            <v>642.18527165572937</v>
          </cell>
          <cell r="Z132">
            <v>825.03480000000002</v>
          </cell>
          <cell r="AA132">
            <v>60.3979</v>
          </cell>
          <cell r="AG132">
            <v>25.960100000000001</v>
          </cell>
          <cell r="DO132">
            <v>132</v>
          </cell>
        </row>
        <row r="133">
          <cell r="A133" t="str">
            <v>Fresno, CA Metro Area</v>
          </cell>
          <cell r="B133">
            <v>8751.1164233072923</v>
          </cell>
          <cell r="C133">
            <v>7306.1052739941497</v>
          </cell>
          <cell r="D133">
            <v>6586.2989938165611</v>
          </cell>
          <cell r="E133">
            <v>6578.4118268339635</v>
          </cell>
          <cell r="F133">
            <v>5576.1906674434967</v>
          </cell>
          <cell r="G133">
            <v>5005.8425177683603</v>
          </cell>
          <cell r="H133">
            <v>4742.7427489458478</v>
          </cell>
          <cell r="I133">
            <v>3965.3102729139946</v>
          </cell>
          <cell r="J133">
            <v>3423.6269106371951</v>
          </cell>
          <cell r="K133">
            <v>2346.9056580474512</v>
          </cell>
          <cell r="L133">
            <v>1643.7613198525282</v>
          </cell>
          <cell r="M133">
            <v>108.64040091000091</v>
          </cell>
          <cell r="N133">
            <v>1137.8761026914283</v>
          </cell>
          <cell r="O133">
            <v>1350.0975003893213</v>
          </cell>
          <cell r="P133">
            <v>425.61958730481274</v>
          </cell>
          <cell r="Q133">
            <v>1655.2456067869452</v>
          </cell>
          <cell r="R133">
            <v>622.65346220290382</v>
          </cell>
          <cell r="S133">
            <v>225.49019999999996</v>
          </cell>
          <cell r="U133">
            <v>1016.8302295595707</v>
          </cell>
          <cell r="V133">
            <v>712.8682712837375</v>
          </cell>
          <cell r="W133">
            <v>3833.3275537301893</v>
          </cell>
          <cell r="Y133">
            <v>19.256</v>
          </cell>
          <cell r="Z133">
            <v>31.6052</v>
          </cell>
          <cell r="AA133">
            <v>23.688499999999998</v>
          </cell>
          <cell r="AB133">
            <v>277.85750000000002</v>
          </cell>
          <cell r="AC133">
            <v>657.59270000000004</v>
          </cell>
          <cell r="AH133">
            <v>2.1103000000000001</v>
          </cell>
          <cell r="AI133">
            <v>128.92322574895309</v>
          </cell>
          <cell r="AJ133">
            <v>12.1439</v>
          </cell>
          <cell r="AN133">
            <v>113.4032</v>
          </cell>
          <cell r="AO133">
            <v>32.896900000000002</v>
          </cell>
          <cell r="AQ133">
            <v>17.163799999999998</v>
          </cell>
          <cell r="AW133">
            <v>9.1832999999999991</v>
          </cell>
          <cell r="AX133">
            <v>3.9735000000000005</v>
          </cell>
          <cell r="AY133">
            <v>3716.6048999999998</v>
          </cell>
          <cell r="BB133">
            <v>1241.0771087894182</v>
          </cell>
          <cell r="DO133">
            <v>133</v>
          </cell>
        </row>
        <row r="134">
          <cell r="A134" t="str">
            <v>Gadsden, AL Metro Area</v>
          </cell>
          <cell r="B134">
            <v>1731.189159824047</v>
          </cell>
          <cell r="C134">
            <v>2428.0821502184385</v>
          </cell>
          <cell r="D134">
            <v>861.04069105737142</v>
          </cell>
          <cell r="E134">
            <v>1104.0135739904515</v>
          </cell>
          <cell r="F134">
            <v>726.31167128532354</v>
          </cell>
          <cell r="G134">
            <v>231.04159999999996</v>
          </cell>
          <cell r="H134">
            <v>302.29761455113118</v>
          </cell>
          <cell r="I134">
            <v>257.34256110391556</v>
          </cell>
          <cell r="J134">
            <v>41.540900000000001</v>
          </cell>
          <cell r="K134">
            <v>69.262500000000003</v>
          </cell>
          <cell r="L134">
            <v>62.0182</v>
          </cell>
          <cell r="M134">
            <v>126.87809829506706</v>
          </cell>
          <cell r="Q134">
            <v>64.357299999999995</v>
          </cell>
          <cell r="DO134">
            <v>134</v>
          </cell>
        </row>
        <row r="135">
          <cell r="A135" t="str">
            <v>Gainesville, FL Metro Area</v>
          </cell>
          <cell r="B135">
            <v>5083.1660911764711</v>
          </cell>
          <cell r="C135">
            <v>4312.3363520481662</v>
          </cell>
          <cell r="D135">
            <v>2766.8659525657758</v>
          </cell>
          <cell r="E135">
            <v>3805.7978699050905</v>
          </cell>
          <cell r="F135">
            <v>2078.4980641950633</v>
          </cell>
          <cell r="G135">
            <v>2360.0459310224333</v>
          </cell>
          <cell r="H135">
            <v>1044.5758616835994</v>
          </cell>
          <cell r="I135">
            <v>604.31706126820347</v>
          </cell>
          <cell r="J135">
            <v>100.66522216510431</v>
          </cell>
          <cell r="K135">
            <v>47.747100000000003</v>
          </cell>
          <cell r="L135">
            <v>96.525147903598551</v>
          </cell>
          <cell r="M135">
            <v>108.02191232966315</v>
          </cell>
          <cell r="O135">
            <v>55.816024612511676</v>
          </cell>
          <cell r="S135">
            <v>84.363875207005421</v>
          </cell>
          <cell r="X135">
            <v>40.762500000000003</v>
          </cell>
          <cell r="Z135">
            <v>43.156399999999998</v>
          </cell>
          <cell r="AE135">
            <v>57.6083</v>
          </cell>
          <cell r="AI135">
            <v>30.308800000000002</v>
          </cell>
          <cell r="AJ135">
            <v>56.642600000000002</v>
          </cell>
          <cell r="DO135">
            <v>135</v>
          </cell>
        </row>
        <row r="136">
          <cell r="A136" t="str">
            <v>Gainesville, GA Metro Area</v>
          </cell>
          <cell r="B136">
            <v>1929.5816702385027</v>
          </cell>
          <cell r="C136">
            <v>3365.0850883844541</v>
          </cell>
          <cell r="D136">
            <v>725.31792073574911</v>
          </cell>
          <cell r="E136">
            <v>836.83445186653466</v>
          </cell>
          <cell r="F136">
            <v>677.0377568994719</v>
          </cell>
          <cell r="G136">
            <v>335.11349398602499</v>
          </cell>
          <cell r="H136">
            <v>750.67954412920119</v>
          </cell>
          <cell r="I136">
            <v>215.10967724732404</v>
          </cell>
          <cell r="J136">
            <v>249.28836888841568</v>
          </cell>
          <cell r="K136">
            <v>389.49195008978268</v>
          </cell>
          <cell r="L136">
            <v>302.86220501750296</v>
          </cell>
          <cell r="N136">
            <v>359.23292420496284</v>
          </cell>
          <cell r="O136">
            <v>375.57299999999998</v>
          </cell>
          <cell r="DO136">
            <v>136</v>
          </cell>
        </row>
        <row r="137">
          <cell r="A137" t="str">
            <v>Glens Falls, NY Metro Area</v>
          </cell>
          <cell r="B137">
            <v>4099.4490202197958</v>
          </cell>
          <cell r="D137">
            <v>1096.3828563742582</v>
          </cell>
          <cell r="E137">
            <v>1694.2607686243439</v>
          </cell>
          <cell r="F137">
            <v>174.58085365441909</v>
          </cell>
          <cell r="J137">
            <v>72.12027941908714</v>
          </cell>
          <cell r="K137">
            <v>91.576339933765695</v>
          </cell>
          <cell r="M137">
            <v>52.5077</v>
          </cell>
          <cell r="N137">
            <v>58.780500000000004</v>
          </cell>
          <cell r="Q137">
            <v>91.242299082368362</v>
          </cell>
          <cell r="R137">
            <v>31.6175</v>
          </cell>
          <cell r="S137">
            <v>22.806965893958075</v>
          </cell>
          <cell r="T137">
            <v>52.003599999999999</v>
          </cell>
          <cell r="U137">
            <v>95.13652618883529</v>
          </cell>
          <cell r="V137">
            <v>45.829200000000007</v>
          </cell>
          <cell r="W137">
            <v>61.774400000000007</v>
          </cell>
          <cell r="Y137">
            <v>59.301600000000001</v>
          </cell>
          <cell r="AA137">
            <v>71.364400000000003</v>
          </cell>
          <cell r="AC137">
            <v>35.473553891485473</v>
          </cell>
          <cell r="AD137">
            <v>17.919</v>
          </cell>
          <cell r="AE137">
            <v>11.986700000000001</v>
          </cell>
          <cell r="DO137">
            <v>137</v>
          </cell>
        </row>
        <row r="138">
          <cell r="A138" t="str">
            <v>Goldsboro, NC Metro Area</v>
          </cell>
          <cell r="B138">
            <v>1139.4066757261412</v>
          </cell>
          <cell r="C138">
            <v>2240.2605136719844</v>
          </cell>
          <cell r="D138">
            <v>922.40536286029294</v>
          </cell>
          <cell r="E138">
            <v>354.24099999999999</v>
          </cell>
          <cell r="F138">
            <v>1291.1991</v>
          </cell>
          <cell r="G138">
            <v>348.56192562640052</v>
          </cell>
          <cell r="H138">
            <v>202.75692106067848</v>
          </cell>
          <cell r="I138">
            <v>194.2217</v>
          </cell>
          <cell r="J138">
            <v>137.94466399034772</v>
          </cell>
          <cell r="K138">
            <v>96.169600000000003</v>
          </cell>
          <cell r="M138">
            <v>86.121799999999993</v>
          </cell>
          <cell r="N138">
            <v>59.273726741760534</v>
          </cell>
          <cell r="O138">
            <v>432.2782429895712</v>
          </cell>
          <cell r="DO138">
            <v>138</v>
          </cell>
        </row>
        <row r="139">
          <cell r="A139" t="str">
            <v>Grand Forks, ND-MN Metro Area</v>
          </cell>
          <cell r="B139">
            <v>4219.4079573879735</v>
          </cell>
          <cell r="C139">
            <v>3081.6359495410097</v>
          </cell>
          <cell r="D139">
            <v>3088.5882808867864</v>
          </cell>
          <cell r="E139">
            <v>1607.6143999999999</v>
          </cell>
          <cell r="H139">
            <v>14.3536</v>
          </cell>
          <cell r="K139">
            <v>4.0183999999999997</v>
          </cell>
          <cell r="Q139">
            <v>594.08130000000006</v>
          </cell>
          <cell r="T139">
            <v>5.7069000000000001</v>
          </cell>
          <cell r="V139">
            <v>5.7896999999999998</v>
          </cell>
          <cell r="X139">
            <v>645.94345014539954</v>
          </cell>
          <cell r="AB139">
            <v>9.3045000000000009</v>
          </cell>
          <cell r="AC139">
            <v>5.8893000000000004</v>
          </cell>
          <cell r="AQ139">
            <v>8.8605999999999998</v>
          </cell>
          <cell r="BA139">
            <v>12.664300000000001</v>
          </cell>
          <cell r="BO139">
            <v>11.609100000000002</v>
          </cell>
          <cell r="DO139">
            <v>139</v>
          </cell>
        </row>
        <row r="140">
          <cell r="A140" t="str">
            <v>Grand Junction, CO Metro Area</v>
          </cell>
          <cell r="B140">
            <v>4282.2202523311898</v>
          </cell>
          <cell r="C140">
            <v>3764.29712230103</v>
          </cell>
          <cell r="D140">
            <v>1811.3131562787532</v>
          </cell>
          <cell r="E140">
            <v>2000.0340548974505</v>
          </cell>
          <cell r="F140">
            <v>1183.7921166761632</v>
          </cell>
          <cell r="G140">
            <v>910.88349422294016</v>
          </cell>
          <cell r="H140">
            <v>1924.7450572112652</v>
          </cell>
          <cell r="L140">
            <v>648.66946983656612</v>
          </cell>
          <cell r="N140">
            <v>13.854900000000001</v>
          </cell>
          <cell r="AD140">
            <v>2.6985000000000001</v>
          </cell>
          <cell r="DO140">
            <v>140</v>
          </cell>
        </row>
        <row r="141">
          <cell r="A141" t="str">
            <v>Grand Rapids-Wyoming, MI Metro Area</v>
          </cell>
          <cell r="B141">
            <v>5877.3365957286278</v>
          </cell>
          <cell r="C141">
            <v>7019.13191621837</v>
          </cell>
          <cell r="D141">
            <v>6779.3984571160545</v>
          </cell>
          <cell r="E141">
            <v>3650.3343719445952</v>
          </cell>
          <cell r="F141">
            <v>3403.1766698717543</v>
          </cell>
          <cell r="G141">
            <v>2978.4982402884848</v>
          </cell>
          <cell r="H141">
            <v>2460.6106356287801</v>
          </cell>
          <cell r="I141">
            <v>2500.0904680001581</v>
          </cell>
          <cell r="J141">
            <v>1613.2669859048979</v>
          </cell>
          <cell r="K141">
            <v>920.09605070033172</v>
          </cell>
          <cell r="L141">
            <v>398.47083267203971</v>
          </cell>
          <cell r="M141">
            <v>264.51660621455574</v>
          </cell>
          <cell r="N141">
            <v>858.23244801360454</v>
          </cell>
          <cell r="O141">
            <v>395.62471937469934</v>
          </cell>
          <cell r="P141">
            <v>216.08909138326516</v>
          </cell>
          <cell r="Q141">
            <v>170.93719999999999</v>
          </cell>
          <cell r="R141">
            <v>300.55148241000211</v>
          </cell>
          <cell r="T141">
            <v>619.04319999999984</v>
          </cell>
          <cell r="U141">
            <v>154.45339392838611</v>
          </cell>
          <cell r="V141">
            <v>147.91</v>
          </cell>
          <cell r="W141">
            <v>98.273500000000013</v>
          </cell>
          <cell r="X141">
            <v>101.627</v>
          </cell>
          <cell r="Y141">
            <v>510.71599918539334</v>
          </cell>
          <cell r="Z141">
            <v>373.90731115691119</v>
          </cell>
          <cell r="AA141">
            <v>177.22319999999999</v>
          </cell>
          <cell r="AB141">
            <v>74.361900000000006</v>
          </cell>
          <cell r="AC141">
            <v>160.59835607578614</v>
          </cell>
          <cell r="AD141">
            <v>792.54774570499933</v>
          </cell>
          <cell r="AE141">
            <v>523.53122835875092</v>
          </cell>
          <cell r="AF141">
            <v>500.27903650119953</v>
          </cell>
          <cell r="AG141">
            <v>83.928191037784956</v>
          </cell>
          <cell r="AJ141">
            <v>80.499600000000001</v>
          </cell>
          <cell r="AK141">
            <v>91.316502302971045</v>
          </cell>
          <cell r="AL141">
            <v>71.008499999999998</v>
          </cell>
          <cell r="AM141">
            <v>364.87449687635569</v>
          </cell>
          <cell r="AN141">
            <v>90.900236909674462</v>
          </cell>
          <cell r="AP141">
            <v>105.54085208824158</v>
          </cell>
          <cell r="AR141">
            <v>46.094799999999999</v>
          </cell>
          <cell r="AT141">
            <v>47.725499999999997</v>
          </cell>
          <cell r="BA141">
            <v>15.821099999999998</v>
          </cell>
          <cell r="DO141">
            <v>141</v>
          </cell>
        </row>
        <row r="142">
          <cell r="A142" t="str">
            <v>Great Falls, MT Metro Area</v>
          </cell>
          <cell r="B142">
            <v>4338.7067613490954</v>
          </cell>
          <cell r="C142">
            <v>2915.5065466149294</v>
          </cell>
          <cell r="D142">
            <v>1918.9668897108234</v>
          </cell>
          <cell r="E142">
            <v>1256.6539305370145</v>
          </cell>
          <cell r="G142">
            <v>362.55219226161955</v>
          </cell>
          <cell r="Q142">
            <v>7.6056096930729105</v>
          </cell>
          <cell r="AB142">
            <v>2.4472</v>
          </cell>
          <cell r="DO142">
            <v>142</v>
          </cell>
        </row>
        <row r="143">
          <cell r="A143" t="str">
            <v>Greeley, CO Metro Area</v>
          </cell>
          <cell r="B143">
            <v>6753.2945580595442</v>
          </cell>
          <cell r="C143">
            <v>4526.6926525691151</v>
          </cell>
          <cell r="D143">
            <v>4493.2263013789434</v>
          </cell>
          <cell r="E143">
            <v>2682.933883960256</v>
          </cell>
          <cell r="F143">
            <v>773.54675503003011</v>
          </cell>
          <cell r="G143">
            <v>342.67468666666662</v>
          </cell>
          <cell r="H143">
            <v>76.7727</v>
          </cell>
          <cell r="I143">
            <v>60.129717524861881</v>
          </cell>
          <cell r="K143">
            <v>76.310420000000008</v>
          </cell>
          <cell r="L143">
            <v>601.23850000000004</v>
          </cell>
          <cell r="M143">
            <v>2971.7187417815776</v>
          </cell>
          <cell r="N143">
            <v>896.27434410099113</v>
          </cell>
          <cell r="O143">
            <v>166.19640000000001</v>
          </cell>
          <cell r="Q143">
            <v>32.620899999999999</v>
          </cell>
          <cell r="U143">
            <v>1.4959</v>
          </cell>
          <cell r="W143">
            <v>74.423619007347838</v>
          </cell>
          <cell r="X143">
            <v>101.26370414746543</v>
          </cell>
          <cell r="Y143">
            <v>1250.2623959606162</v>
          </cell>
          <cell r="Z143">
            <v>164.20993244841469</v>
          </cell>
          <cell r="AA143">
            <v>325.50359171567806</v>
          </cell>
          <cell r="AB143">
            <v>300.46299463799147</v>
          </cell>
          <cell r="AC143">
            <v>101.4817</v>
          </cell>
          <cell r="AE143">
            <v>18.338132668329177</v>
          </cell>
          <cell r="AF143">
            <v>71.428299999999993</v>
          </cell>
          <cell r="AH143">
            <v>474.07549999999998</v>
          </cell>
          <cell r="AI143">
            <v>4.7091000000000003</v>
          </cell>
          <cell r="DO143">
            <v>143</v>
          </cell>
        </row>
        <row r="144">
          <cell r="A144" t="str">
            <v>Green Bay, WI Metro Area</v>
          </cell>
          <cell r="B144">
            <v>4678.7150645961246</v>
          </cell>
          <cell r="C144">
            <v>4968.2479289697312</v>
          </cell>
          <cell r="D144">
            <v>3924.0771800246685</v>
          </cell>
          <cell r="E144">
            <v>3488.414629249512</v>
          </cell>
          <cell r="F144">
            <v>2168.9117445846559</v>
          </cell>
          <cell r="G144">
            <v>1318.9241668740933</v>
          </cell>
          <cell r="H144">
            <v>665.93726946500328</v>
          </cell>
          <cell r="J144">
            <v>239.07116855295067</v>
          </cell>
          <cell r="K144">
            <v>83.614199999999997</v>
          </cell>
          <cell r="N144">
            <v>87.771372110552761</v>
          </cell>
          <cell r="O144">
            <v>159.4014</v>
          </cell>
          <cell r="Q144">
            <v>62.110499999999995</v>
          </cell>
          <cell r="R144">
            <v>49.79241137445095</v>
          </cell>
          <cell r="W144">
            <v>44.2712</v>
          </cell>
          <cell r="X144">
            <v>57.475000000000001</v>
          </cell>
          <cell r="AA144">
            <v>33.371400000000001</v>
          </cell>
          <cell r="AB144">
            <v>100.85023292667745</v>
          </cell>
          <cell r="AD144">
            <v>606.60800435476153</v>
          </cell>
          <cell r="AF144">
            <v>45.595700000000001</v>
          </cell>
          <cell r="AH144">
            <v>30.691799999999997</v>
          </cell>
          <cell r="AN144">
            <v>25.6479</v>
          </cell>
          <cell r="AS144">
            <v>13.987</v>
          </cell>
          <cell r="BI144">
            <v>12.2904</v>
          </cell>
          <cell r="DO144">
            <v>144</v>
          </cell>
        </row>
        <row r="145">
          <cell r="A145" t="str">
            <v>Greensboro-High Point, NC Metro Area</v>
          </cell>
          <cell r="B145">
            <v>5624.5640479674066</v>
          </cell>
          <cell r="C145">
            <v>4028.2604031254405</v>
          </cell>
          <cell r="D145">
            <v>2811.1196021000542</v>
          </cell>
          <cell r="E145">
            <v>2617.5506260811335</v>
          </cell>
          <cell r="F145">
            <v>2479.9869166967669</v>
          </cell>
          <cell r="G145">
            <v>1325.6794057548284</v>
          </cell>
          <cell r="H145">
            <v>1255.1192072711024</v>
          </cell>
          <cell r="I145">
            <v>1357.1384987252809</v>
          </cell>
          <cell r="J145">
            <v>982.32940283256164</v>
          </cell>
          <cell r="K145">
            <v>288.62633479618387</v>
          </cell>
          <cell r="L145">
            <v>479.43007903586403</v>
          </cell>
          <cell r="M145">
            <v>1398.8540463850709</v>
          </cell>
          <cell r="N145">
            <v>1083.9255749947329</v>
          </cell>
          <cell r="O145">
            <v>2624.9953677109561</v>
          </cell>
          <cell r="P145">
            <v>814.45290915558405</v>
          </cell>
          <cell r="Q145">
            <v>1336.4492059735246</v>
          </cell>
          <cell r="R145">
            <v>868.75316166637492</v>
          </cell>
          <cell r="S145">
            <v>304.88011883323679</v>
          </cell>
          <cell r="T145">
            <v>310.88509489956334</v>
          </cell>
          <cell r="U145">
            <v>287.03490928744941</v>
          </cell>
          <cell r="V145">
            <v>366.15390000000002</v>
          </cell>
          <cell r="W145">
            <v>397.12850876345652</v>
          </cell>
          <cell r="X145">
            <v>992.16536114663484</v>
          </cell>
          <cell r="Y145">
            <v>109.60017821312704</v>
          </cell>
          <cell r="Z145">
            <v>536.83287785012578</v>
          </cell>
          <cell r="AA145">
            <v>714.18321916497757</v>
          </cell>
          <cell r="AB145">
            <v>459.7258030429594</v>
          </cell>
          <cell r="AC145">
            <v>95.280707638702751</v>
          </cell>
          <cell r="AD145">
            <v>414.15653193059546</v>
          </cell>
          <cell r="AE145">
            <v>321.45329742186374</v>
          </cell>
          <cell r="AF145">
            <v>648.12544457887816</v>
          </cell>
          <cell r="AG145">
            <v>265.33019999999999</v>
          </cell>
          <cell r="AH145">
            <v>43.093699999999998</v>
          </cell>
          <cell r="AI145">
            <v>40.0351</v>
          </cell>
          <cell r="AJ145">
            <v>80.721800000000002</v>
          </cell>
          <cell r="DO145">
            <v>145</v>
          </cell>
        </row>
        <row r="146">
          <cell r="A146" t="str">
            <v>Greenville, NC Metro Area</v>
          </cell>
          <cell r="B146">
            <v>4836.6232233371047</v>
          </cell>
          <cell r="C146">
            <v>3421.8606224635528</v>
          </cell>
          <cell r="D146">
            <v>1815.4844765331579</v>
          </cell>
          <cell r="F146">
            <v>817.81891623462502</v>
          </cell>
          <cell r="G146">
            <v>366.81789675597588</v>
          </cell>
          <cell r="H146">
            <v>212.27758952509612</v>
          </cell>
          <cell r="I146">
            <v>67.579300000000003</v>
          </cell>
          <cell r="K146">
            <v>68.082242827822114</v>
          </cell>
          <cell r="L146">
            <v>178.456184401934</v>
          </cell>
          <cell r="M146">
            <v>100.3236</v>
          </cell>
          <cell r="N146">
            <v>195.81948874656905</v>
          </cell>
          <cell r="Q146">
            <v>67.648700000000005</v>
          </cell>
          <cell r="R146">
            <v>158.62889999999999</v>
          </cell>
          <cell r="S146">
            <v>49.788200000000003</v>
          </cell>
          <cell r="V146">
            <v>119.96080000000001</v>
          </cell>
          <cell r="AA146">
            <v>60.757399999999997</v>
          </cell>
          <cell r="DO146">
            <v>146</v>
          </cell>
        </row>
        <row r="147">
          <cell r="A147" t="str">
            <v>Greenville-Mauldin-Easley, SC Metro Area</v>
          </cell>
          <cell r="B147">
            <v>2800.3963365592576</v>
          </cell>
          <cell r="C147">
            <v>3064.9382734219571</v>
          </cell>
          <cell r="D147">
            <v>2660.8309501918052</v>
          </cell>
          <cell r="E147">
            <v>2175.1549945822194</v>
          </cell>
          <cell r="F147">
            <v>1610.8352150126943</v>
          </cell>
          <cell r="G147">
            <v>1584.5669689292488</v>
          </cell>
          <cell r="H147">
            <v>1348.2455831280895</v>
          </cell>
          <cell r="I147">
            <v>1241.295303029199</v>
          </cell>
          <cell r="J147">
            <v>1102.5676043293274</v>
          </cell>
          <cell r="K147">
            <v>697.15507117410243</v>
          </cell>
          <cell r="L147">
            <v>633.6602935493778</v>
          </cell>
          <cell r="M147">
            <v>2184.0833002052645</v>
          </cell>
          <cell r="N147">
            <v>672.05128014021932</v>
          </cell>
          <cell r="O147">
            <v>475.45951489695676</v>
          </cell>
          <cell r="P147">
            <v>141.73910000000001</v>
          </cell>
          <cell r="Q147">
            <v>505.48824791099423</v>
          </cell>
          <cell r="R147">
            <v>112.91303027570481</v>
          </cell>
          <cell r="S147">
            <v>244.23643473966249</v>
          </cell>
          <cell r="U147">
            <v>61.723460370201792</v>
          </cell>
          <cell r="V147">
            <v>66.918196465810567</v>
          </cell>
          <cell r="W147">
            <v>218.11259999999996</v>
          </cell>
          <cell r="Y147">
            <v>224.78947704320987</v>
          </cell>
          <cell r="Z147">
            <v>139.43721845679877</v>
          </cell>
          <cell r="AA147">
            <v>1013.7424999999999</v>
          </cell>
          <cell r="AB147">
            <v>1785.3925667368421</v>
          </cell>
          <cell r="AC147">
            <v>806.07995122968805</v>
          </cell>
          <cell r="AF147">
            <v>78.555952101998614</v>
          </cell>
          <cell r="AG147">
            <v>221.67060000000001</v>
          </cell>
          <cell r="AH147">
            <v>1121.0091</v>
          </cell>
          <cell r="AJ147">
            <v>111.289</v>
          </cell>
          <cell r="AK147">
            <v>64.350399999999993</v>
          </cell>
          <cell r="AN147">
            <v>479.96469999999999</v>
          </cell>
          <cell r="AO147">
            <v>42.535800000000002</v>
          </cell>
          <cell r="AP147">
            <v>188.57458602412578</v>
          </cell>
          <cell r="AU147">
            <v>48.794247609264097</v>
          </cell>
          <cell r="DO147">
            <v>147</v>
          </cell>
        </row>
        <row r="148">
          <cell r="A148" t="str">
            <v>Gulfport-Biloxi, MS Metro Area</v>
          </cell>
          <cell r="B148">
            <v>2781.0341734602462</v>
          </cell>
          <cell r="C148">
            <v>3011.1738545370054</v>
          </cell>
          <cell r="D148">
            <v>1103.8627384037666</v>
          </cell>
          <cell r="E148">
            <v>2105.3296608792743</v>
          </cell>
          <cell r="F148">
            <v>1917.506071627537</v>
          </cell>
          <cell r="G148">
            <v>1534.6786687850906</v>
          </cell>
          <cell r="H148">
            <v>1531.2776021655343</v>
          </cell>
          <cell r="I148">
            <v>2195.3723</v>
          </cell>
          <cell r="J148">
            <v>1337.0081031208849</v>
          </cell>
          <cell r="K148">
            <v>1307.2832866659662</v>
          </cell>
          <cell r="L148">
            <v>1616.1417641893549</v>
          </cell>
          <cell r="M148">
            <v>1755.7531525016734</v>
          </cell>
          <cell r="N148">
            <v>1923.5052824233831</v>
          </cell>
          <cell r="O148">
            <v>2226.3998000000001</v>
          </cell>
          <cell r="P148">
            <v>70.716999999999999</v>
          </cell>
          <cell r="Q148">
            <v>671.67012424987422</v>
          </cell>
          <cell r="R148">
            <v>533.01139999999998</v>
          </cell>
          <cell r="T148">
            <v>584.58341053899085</v>
          </cell>
          <cell r="V148">
            <v>27.336300000000001</v>
          </cell>
          <cell r="AA148">
            <v>43.8446</v>
          </cell>
          <cell r="AD148">
            <v>27.077400000000001</v>
          </cell>
          <cell r="AE148">
            <v>22.15</v>
          </cell>
          <cell r="AF148">
            <v>24.060300000000002</v>
          </cell>
          <cell r="AI148">
            <v>399.98840000000001</v>
          </cell>
          <cell r="DO148">
            <v>148</v>
          </cell>
        </row>
        <row r="149">
          <cell r="A149" t="str">
            <v>Hagerstown-Martinsburg, MD-WV Metro Area</v>
          </cell>
          <cell r="B149">
            <v>7095.7279053984585</v>
          </cell>
          <cell r="C149">
            <v>2751.1745411941001</v>
          </cell>
          <cell r="D149">
            <v>1205.1281616914835</v>
          </cell>
          <cell r="E149">
            <v>854.89957858725768</v>
          </cell>
          <cell r="G149">
            <v>1732.6982834425608</v>
          </cell>
          <cell r="H149">
            <v>141.95797959835369</v>
          </cell>
          <cell r="I149">
            <v>290.25380000000001</v>
          </cell>
          <cell r="K149">
            <v>271.5145</v>
          </cell>
          <cell r="L149">
            <v>342.05485148748789</v>
          </cell>
          <cell r="N149">
            <v>65.983900000000006</v>
          </cell>
          <cell r="O149">
            <v>200.66595181257708</v>
          </cell>
          <cell r="P149">
            <v>114.81399999999999</v>
          </cell>
          <cell r="Q149">
            <v>553.33759999999995</v>
          </cell>
          <cell r="R149">
            <v>200.88516741018222</v>
          </cell>
          <cell r="T149">
            <v>2776.5851513089005</v>
          </cell>
          <cell r="U149">
            <v>1174.4782493974494</v>
          </cell>
          <cell r="X149">
            <v>203.09255947043246</v>
          </cell>
          <cell r="AA149">
            <v>69.337400000000002</v>
          </cell>
          <cell r="AB149">
            <v>203.9070930075188</v>
          </cell>
          <cell r="AD149">
            <v>235.80179999999999</v>
          </cell>
          <cell r="AF149">
            <v>45.992800000000003</v>
          </cell>
          <cell r="AK149">
            <v>30.587800000000001</v>
          </cell>
          <cell r="DO149">
            <v>149</v>
          </cell>
        </row>
        <row r="150">
          <cell r="A150" t="str">
            <v>Hanford-Corcoran, CA Metro Area</v>
          </cell>
          <cell r="B150">
            <v>5012.9204</v>
          </cell>
          <cell r="C150">
            <v>1934.9360830768035</v>
          </cell>
          <cell r="D150">
            <v>3817.1850085481383</v>
          </cell>
          <cell r="E150">
            <v>362.2722</v>
          </cell>
          <cell r="F150">
            <v>16.334199999999999</v>
          </cell>
          <cell r="G150">
            <v>33.999099999999999</v>
          </cell>
          <cell r="I150">
            <v>3179.7408881166725</v>
          </cell>
          <cell r="J150">
            <v>2448.4052073480043</v>
          </cell>
          <cell r="L150">
            <v>36.444299999999998</v>
          </cell>
          <cell r="P150">
            <v>212.5872</v>
          </cell>
          <cell r="R150">
            <v>2787.6402295357771</v>
          </cell>
          <cell r="S150">
            <v>952.93690873786397</v>
          </cell>
          <cell r="U150">
            <v>5721.6781000000001</v>
          </cell>
          <cell r="AK150">
            <v>26.093399999999995</v>
          </cell>
          <cell r="AL150">
            <v>8291.2492000000002</v>
          </cell>
          <cell r="DO150">
            <v>150</v>
          </cell>
        </row>
        <row r="151">
          <cell r="A151" t="str">
            <v>Harrisburg-Carlisle, PA Metro Area</v>
          </cell>
          <cell r="B151">
            <v>12559.605982481993</v>
          </cell>
          <cell r="C151">
            <v>7302.2602187770308</v>
          </cell>
          <cell r="D151">
            <v>4483.5350442194504</v>
          </cell>
          <cell r="E151">
            <v>2089.134210601771</v>
          </cell>
          <cell r="F151">
            <v>2491.8805746721996</v>
          </cell>
          <cell r="G151">
            <v>1539.8734005692288</v>
          </cell>
          <cell r="H151">
            <v>1577.5978439379085</v>
          </cell>
          <cell r="I151">
            <v>1971.4390430749986</v>
          </cell>
          <cell r="J151">
            <v>853.2697466189959</v>
          </cell>
          <cell r="K151">
            <v>2422.5021693977083</v>
          </cell>
          <cell r="M151">
            <v>439.03332046837619</v>
          </cell>
          <cell r="N151">
            <v>1663.426160288009</v>
          </cell>
          <cell r="O151">
            <v>321.42156163300143</v>
          </cell>
          <cell r="P151">
            <v>141.6927</v>
          </cell>
          <cell r="Q151">
            <v>559.93775961656752</v>
          </cell>
          <cell r="R151">
            <v>3115.3151985221671</v>
          </cell>
          <cell r="S151">
            <v>2239.423195106383</v>
          </cell>
          <cell r="T151">
            <v>156.75452192393735</v>
          </cell>
          <cell r="U151">
            <v>1167.7472370914618</v>
          </cell>
          <cell r="V151">
            <v>167.3577033676639</v>
          </cell>
          <cell r="W151">
            <v>101.8373</v>
          </cell>
          <cell r="Y151">
            <v>149.33454015748032</v>
          </cell>
          <cell r="AA151">
            <v>58.671761913797774</v>
          </cell>
          <cell r="AB151">
            <v>140.61525117973838</v>
          </cell>
          <cell r="AC151">
            <v>68.369500000000002</v>
          </cell>
          <cell r="AD151">
            <v>3177.0240000000003</v>
          </cell>
          <cell r="AG151">
            <v>20.471900000000002</v>
          </cell>
          <cell r="AJ151">
            <v>92.309600000000003</v>
          </cell>
          <cell r="AL151">
            <v>2539.8049088738735</v>
          </cell>
          <cell r="DO151">
            <v>151</v>
          </cell>
        </row>
        <row r="152">
          <cell r="A152" t="str">
            <v>Harrisonburg, VA Metro Area</v>
          </cell>
          <cell r="B152">
            <v>5598.5414919456944</v>
          </cell>
          <cell r="C152">
            <v>3017.0623014471189</v>
          </cell>
          <cell r="D152">
            <v>1799.1990973121444</v>
          </cell>
          <cell r="E152">
            <v>246.60103325581397</v>
          </cell>
          <cell r="F152">
            <v>166.01159999999999</v>
          </cell>
          <cell r="G152">
            <v>118.14613063714414</v>
          </cell>
          <cell r="H152">
            <v>892.58231369673172</v>
          </cell>
          <cell r="I152">
            <v>89.407510317649866</v>
          </cell>
          <cell r="K152">
            <v>74.722304989154011</v>
          </cell>
          <cell r="L152">
            <v>69.474992431886989</v>
          </cell>
          <cell r="N152">
            <v>154.17087138157896</v>
          </cell>
          <cell r="P152">
            <v>207.11294035062087</v>
          </cell>
          <cell r="Q152">
            <v>95.897300000000001</v>
          </cell>
          <cell r="R152">
            <v>16.168500000000002</v>
          </cell>
          <cell r="DO152">
            <v>152</v>
          </cell>
        </row>
        <row r="153">
          <cell r="A153" t="str">
            <v>Hartford-West Hartford-East Hartford, CT Metro Area</v>
          </cell>
          <cell r="B153">
            <v>13585.770511043156</v>
          </cell>
          <cell r="C153">
            <v>12699.670872824923</v>
          </cell>
          <cell r="D153">
            <v>7139.0400290045582</v>
          </cell>
          <cell r="E153">
            <v>3190.0141880987853</v>
          </cell>
          <cell r="F153">
            <v>2857.8934376550606</v>
          </cell>
          <cell r="G153">
            <v>1586.0829879325568</v>
          </cell>
          <cell r="H153">
            <v>2454.9103536741645</v>
          </cell>
          <cell r="I153">
            <v>3008.449040920324</v>
          </cell>
          <cell r="J153">
            <v>5080.2899477849305</v>
          </cell>
          <cell r="K153">
            <v>2650.2827844899871</v>
          </cell>
          <cell r="L153">
            <v>1189.893447532964</v>
          </cell>
          <cell r="M153">
            <v>2156.9448335396414</v>
          </cell>
          <cell r="N153">
            <v>1559.8464423505873</v>
          </cell>
          <cell r="O153">
            <v>1868.3211046860224</v>
          </cell>
          <cell r="P153">
            <v>1636.5032834868912</v>
          </cell>
          <cell r="Q153">
            <v>1621.6393736506111</v>
          </cell>
          <cell r="R153">
            <v>1483.704552640341</v>
          </cell>
          <cell r="S153">
            <v>893.04064931308017</v>
          </cell>
          <cell r="T153">
            <v>700.34846084639628</v>
          </cell>
          <cell r="U153">
            <v>788.43596257705462</v>
          </cell>
          <cell r="V153">
            <v>307.54288881833577</v>
          </cell>
          <cell r="W153">
            <v>4156.066279544184</v>
          </cell>
          <cell r="X153">
            <v>244.36794496867469</v>
          </cell>
          <cell r="Y153">
            <v>1133.0818999999999</v>
          </cell>
          <cell r="Z153">
            <v>178.15649999999999</v>
          </cell>
          <cell r="AA153">
            <v>101.51049999999999</v>
          </cell>
          <cell r="AB153">
            <v>156.46734822178661</v>
          </cell>
          <cell r="AC153">
            <v>170.5307</v>
          </cell>
          <cell r="AE153">
            <v>341.4348</v>
          </cell>
          <cell r="AG153">
            <v>625.91139999999996</v>
          </cell>
          <cell r="AH153">
            <v>659.08879530051593</v>
          </cell>
          <cell r="AJ153">
            <v>681.97858845411486</v>
          </cell>
          <cell r="AL153">
            <v>1026.7653</v>
          </cell>
          <cell r="DO153">
            <v>153</v>
          </cell>
        </row>
        <row r="154">
          <cell r="A154" t="str">
            <v>Hattiesburg, MS Metro Area</v>
          </cell>
          <cell r="B154">
            <v>2046.3196404686423</v>
          </cell>
          <cell r="C154">
            <v>2020.0071891251519</v>
          </cell>
          <cell r="D154">
            <v>3989.2036333414353</v>
          </cell>
          <cell r="E154">
            <v>1325.1216375253669</v>
          </cell>
          <cell r="F154">
            <v>535.25285199063239</v>
          </cell>
          <cell r="G154">
            <v>109.00898293029873</v>
          </cell>
          <cell r="H154">
            <v>117.809</v>
          </cell>
          <cell r="J154">
            <v>288.6201549675543</v>
          </cell>
          <cell r="P154">
            <v>58.121453086516581</v>
          </cell>
          <cell r="Q154">
            <v>49.064099999999996</v>
          </cell>
          <cell r="R154">
            <v>26.226500000000001</v>
          </cell>
          <cell r="S154">
            <v>21.5444</v>
          </cell>
          <cell r="T154">
            <v>32.357599999999998</v>
          </cell>
          <cell r="Y154">
            <v>31.380361113466162</v>
          </cell>
          <cell r="DO154">
            <v>154</v>
          </cell>
        </row>
        <row r="155">
          <cell r="A155" t="str">
            <v>Hickory-Lenoir-Morganton, NC Metro Area</v>
          </cell>
          <cell r="B155">
            <v>2149.1923000000002</v>
          </cell>
          <cell r="C155">
            <v>2067.2894721150701</v>
          </cell>
          <cell r="D155">
            <v>1611.2428783837381</v>
          </cell>
          <cell r="E155">
            <v>800.38576246237494</v>
          </cell>
          <cell r="F155">
            <v>816.24849280763453</v>
          </cell>
          <cell r="G155">
            <v>380.83981499649616</v>
          </cell>
          <cell r="H155">
            <v>408.35666062019482</v>
          </cell>
          <cell r="I155">
            <v>635.86692456690935</v>
          </cell>
          <cell r="J155">
            <v>549.92874879570775</v>
          </cell>
          <cell r="K155">
            <v>206.85712196388528</v>
          </cell>
          <cell r="L155">
            <v>175.537793104701</v>
          </cell>
          <cell r="M155">
            <v>346.65131240982299</v>
          </cell>
          <cell r="N155">
            <v>389.84525760643646</v>
          </cell>
          <cell r="O155">
            <v>512.7988490622572</v>
          </cell>
          <cell r="P155">
            <v>270.74701760264276</v>
          </cell>
          <cell r="Q155">
            <v>383.64245588861047</v>
          </cell>
          <cell r="R155">
            <v>324.99420327172299</v>
          </cell>
          <cell r="S155">
            <v>1163.0077388860657</v>
          </cell>
          <cell r="T155">
            <v>910.32596243093906</v>
          </cell>
          <cell r="U155">
            <v>200.58882402852763</v>
          </cell>
          <cell r="V155">
            <v>555.97725944977606</v>
          </cell>
          <cell r="W155">
            <v>145.22878878674797</v>
          </cell>
          <cell r="X155">
            <v>258.56</v>
          </cell>
          <cell r="Z155">
            <v>168.10668523349597</v>
          </cell>
          <cell r="AB155">
            <v>237.98030000000003</v>
          </cell>
          <cell r="AC155">
            <v>35.763800000000003</v>
          </cell>
          <cell r="DO155">
            <v>155</v>
          </cell>
        </row>
        <row r="156">
          <cell r="A156" t="str">
            <v>Hinesville-Fort Stewart, GA Metro Area</v>
          </cell>
          <cell r="B156">
            <v>1750.1223</v>
          </cell>
          <cell r="C156">
            <v>1003.0396148871417</v>
          </cell>
          <cell r="D156">
            <v>1659.4693234580384</v>
          </cell>
          <cell r="E156">
            <v>496.35322545228667</v>
          </cell>
          <cell r="G156">
            <v>1084.4070999999999</v>
          </cell>
          <cell r="K156">
            <v>88.531899999999993</v>
          </cell>
          <cell r="L156">
            <v>27.701987417491747</v>
          </cell>
          <cell r="P156">
            <v>36.3337</v>
          </cell>
          <cell r="DO156">
            <v>156</v>
          </cell>
        </row>
        <row r="157">
          <cell r="A157" t="str">
            <v>Holland-Grand Haven, MI Metro Area</v>
          </cell>
          <cell r="B157">
            <v>5174.8250232200771</v>
          </cell>
          <cell r="C157">
            <v>1789.5048999999999</v>
          </cell>
          <cell r="D157">
            <v>2113.3731829886292</v>
          </cell>
          <cell r="E157">
            <v>1107.547666428472</v>
          </cell>
          <cell r="F157">
            <v>1339.174132852432</v>
          </cell>
          <cell r="G157">
            <v>672.01299999999992</v>
          </cell>
          <cell r="H157">
            <v>236.01750000000001</v>
          </cell>
          <cell r="I157">
            <v>167.65469999999999</v>
          </cell>
          <cell r="J157">
            <v>137.81556970892947</v>
          </cell>
          <cell r="N157">
            <v>272.60993756714606</v>
          </cell>
          <cell r="O157">
            <v>1547.5680419663145</v>
          </cell>
          <cell r="P157">
            <v>605.80731824507143</v>
          </cell>
          <cell r="Q157">
            <v>1353.8040330455576</v>
          </cell>
          <cell r="R157">
            <v>1860.1016483833939</v>
          </cell>
          <cell r="S157">
            <v>2144.4478557350189</v>
          </cell>
          <cell r="T157">
            <v>1094.6392000000001</v>
          </cell>
          <cell r="U157">
            <v>1315.1446592053521</v>
          </cell>
          <cell r="V157">
            <v>1054.5202288322123</v>
          </cell>
          <cell r="W157">
            <v>831.0606069282137</v>
          </cell>
          <cell r="X157">
            <v>623.68793703703716</v>
          </cell>
          <cell r="AA157">
            <v>77.070700000000002</v>
          </cell>
          <cell r="DO157">
            <v>157</v>
          </cell>
        </row>
        <row r="158">
          <cell r="A158" t="str">
            <v>Honolulu, HI Metro Area</v>
          </cell>
          <cell r="B158">
            <v>22034.505000618778</v>
          </cell>
          <cell r="C158">
            <v>23037.242901158646</v>
          </cell>
          <cell r="D158">
            <v>23509.851975548565</v>
          </cell>
          <cell r="E158">
            <v>22885.181449295414</v>
          </cell>
          <cell r="F158">
            <v>10955.306449609197</v>
          </cell>
          <cell r="G158">
            <v>5348.0993212243593</v>
          </cell>
          <cell r="H158">
            <v>4728.9596465699851</v>
          </cell>
          <cell r="I158">
            <v>7561.2103283211454</v>
          </cell>
          <cell r="J158">
            <v>4900.8040569850073</v>
          </cell>
          <cell r="K158">
            <v>6791.7226886262315</v>
          </cell>
          <cell r="L158">
            <v>7279.0293965020219</v>
          </cell>
          <cell r="M158">
            <v>7609.3128184843708</v>
          </cell>
          <cell r="N158">
            <v>4076.0653456288187</v>
          </cell>
          <cell r="O158">
            <v>5090.7791978326704</v>
          </cell>
          <cell r="P158">
            <v>5069.3725616673191</v>
          </cell>
          <cell r="Q158">
            <v>2802.1374203421346</v>
          </cell>
          <cell r="R158">
            <v>6671.830784343837</v>
          </cell>
          <cell r="S158">
            <v>1870.0966765339074</v>
          </cell>
          <cell r="T158">
            <v>4348.0632008447365</v>
          </cell>
          <cell r="U158">
            <v>264.67039412790166</v>
          </cell>
          <cell r="V158">
            <v>50.836799999999997</v>
          </cell>
          <cell r="W158">
            <v>2557.7257826740947</v>
          </cell>
          <cell r="X158">
            <v>2791.26</v>
          </cell>
          <cell r="Y158">
            <v>587.24689793449147</v>
          </cell>
          <cell r="Z158">
            <v>2620.3409000000001</v>
          </cell>
          <cell r="AA158">
            <v>2456.1479440217781</v>
          </cell>
          <cell r="AB158">
            <v>249.18190000000001</v>
          </cell>
          <cell r="DL158">
            <v>1.6122000000000001</v>
          </cell>
          <cell r="DO158">
            <v>158</v>
          </cell>
        </row>
        <row r="159">
          <cell r="A159" t="str">
            <v>Hot Springs, AR Metro Area</v>
          </cell>
          <cell r="B159">
            <v>1474.2618108910892</v>
          </cell>
          <cell r="C159">
            <v>1617.7978340144111</v>
          </cell>
          <cell r="D159">
            <v>833.97158872702835</v>
          </cell>
          <cell r="E159">
            <v>845.37198462189951</v>
          </cell>
          <cell r="F159">
            <v>1012.2091</v>
          </cell>
          <cell r="G159">
            <v>597.57169999999996</v>
          </cell>
          <cell r="H159">
            <v>242.37119976067908</v>
          </cell>
          <cell r="J159">
            <v>68.141099999999994</v>
          </cell>
          <cell r="L159">
            <v>288.87119999999999</v>
          </cell>
          <cell r="M159">
            <v>66.201400000000007</v>
          </cell>
          <cell r="N159">
            <v>20.7959</v>
          </cell>
          <cell r="DO159">
            <v>159</v>
          </cell>
        </row>
        <row r="160">
          <cell r="A160" t="str">
            <v>Houma-Bayou Cane-Thibodaux, LA Metro Area</v>
          </cell>
          <cell r="B160">
            <v>1478.1077868540262</v>
          </cell>
          <cell r="C160">
            <v>2294.7870907370198</v>
          </cell>
          <cell r="D160">
            <v>2051.2082430151045</v>
          </cell>
          <cell r="E160">
            <v>24.1952</v>
          </cell>
          <cell r="F160">
            <v>809.44039999999984</v>
          </cell>
          <cell r="G160">
            <v>313.9948463188486</v>
          </cell>
          <cell r="H160">
            <v>286.15170000000001</v>
          </cell>
          <cell r="I160">
            <v>42.918500000000002</v>
          </cell>
          <cell r="J160">
            <v>224.84026702916461</v>
          </cell>
          <cell r="K160">
            <v>154.74017901341409</v>
          </cell>
          <cell r="L160">
            <v>1281.623</v>
          </cell>
          <cell r="M160">
            <v>670.67295306122446</v>
          </cell>
          <cell r="N160">
            <v>462.02395412244903</v>
          </cell>
          <cell r="O160">
            <v>49.470999999999997</v>
          </cell>
          <cell r="P160">
            <v>1480.2011452469342</v>
          </cell>
          <cell r="Q160">
            <v>1759.0976785809905</v>
          </cell>
          <cell r="R160">
            <v>59.727199999999996</v>
          </cell>
          <cell r="S160">
            <v>44.300700000000006</v>
          </cell>
          <cell r="U160">
            <v>82.784199999999998</v>
          </cell>
          <cell r="V160">
            <v>831.93739999999991</v>
          </cell>
          <cell r="Y160">
            <v>203.02860000000001</v>
          </cell>
          <cell r="AA160">
            <v>24.142799999999998</v>
          </cell>
          <cell r="AC160">
            <v>34.550600000000003</v>
          </cell>
          <cell r="AF160">
            <v>678.45410000000004</v>
          </cell>
          <cell r="DO160">
            <v>160</v>
          </cell>
        </row>
        <row r="161">
          <cell r="A161" t="str">
            <v>Houston-Sugar Land-Baytown, TX Metro Area</v>
          </cell>
          <cell r="B161">
            <v>9144.4362267459128</v>
          </cell>
          <cell r="C161">
            <v>6026.6741105340079</v>
          </cell>
          <cell r="D161">
            <v>6564.1650157050208</v>
          </cell>
          <cell r="E161">
            <v>5182.4529187467942</v>
          </cell>
          <cell r="F161">
            <v>5598.2109260005391</v>
          </cell>
          <cell r="G161">
            <v>5195.0322285859484</v>
          </cell>
          <cell r="H161">
            <v>6679.1783678146376</v>
          </cell>
          <cell r="I161">
            <v>9466.6022422315982</v>
          </cell>
          <cell r="J161">
            <v>5946.1446518367857</v>
          </cell>
          <cell r="K161">
            <v>5871.2846269285756</v>
          </cell>
          <cell r="L161">
            <v>5887.8722222566803</v>
          </cell>
          <cell r="M161">
            <v>7274.1382322545969</v>
          </cell>
          <cell r="N161">
            <v>6166.2300510763853</v>
          </cell>
          <cell r="O161">
            <v>4996.5763178067973</v>
          </cell>
          <cell r="P161">
            <v>4856.6886698167837</v>
          </cell>
          <cell r="Q161">
            <v>3853.0038547481927</v>
          </cell>
          <cell r="R161">
            <v>3440.9996332741248</v>
          </cell>
          <cell r="S161">
            <v>3093.4666322082271</v>
          </cell>
          <cell r="T161">
            <v>3510.3441830349666</v>
          </cell>
          <cell r="U161">
            <v>3511.8045577031012</v>
          </cell>
          <cell r="V161">
            <v>2693.1945877349563</v>
          </cell>
          <cell r="W161">
            <v>2209.5370427413623</v>
          </cell>
          <cell r="X161">
            <v>2060.5646639147044</v>
          </cell>
          <cell r="Y161">
            <v>2936.2045572152497</v>
          </cell>
          <cell r="Z161">
            <v>2116.5562359827486</v>
          </cell>
          <cell r="AA161">
            <v>1425.0424016972588</v>
          </cell>
          <cell r="AB161">
            <v>1494.4579862960079</v>
          </cell>
          <cell r="AC161">
            <v>1371.812132798628</v>
          </cell>
          <cell r="AD161">
            <v>1128.3244111920187</v>
          </cell>
          <cell r="AE161">
            <v>1470.5562714772902</v>
          </cell>
          <cell r="AF161">
            <v>2094.0784926557435</v>
          </cell>
          <cell r="AG161">
            <v>764.84559117874812</v>
          </cell>
          <cell r="AH161">
            <v>791.77040515128363</v>
          </cell>
          <cell r="AI161">
            <v>388.30724754903184</v>
          </cell>
          <cell r="AJ161">
            <v>487.61085681993148</v>
          </cell>
          <cell r="AK161">
            <v>696.55786240966097</v>
          </cell>
          <cell r="AL161">
            <v>1313.80331500495</v>
          </cell>
          <cell r="AM161">
            <v>2264.9505387720383</v>
          </cell>
          <cell r="AN161">
            <v>1137.0822430876267</v>
          </cell>
          <cell r="AO161">
            <v>706.63276380690354</v>
          </cell>
          <cell r="AP161">
            <v>1180.8602933460747</v>
          </cell>
          <cell r="AQ161">
            <v>134.48004922795948</v>
          </cell>
          <cell r="AR161">
            <v>226.86136397175085</v>
          </cell>
          <cell r="AS161">
            <v>183.00709290707883</v>
          </cell>
          <cell r="AT161">
            <v>691.43744727763931</v>
          </cell>
          <cell r="AU161">
            <v>233.90922971571976</v>
          </cell>
          <cell r="AV161">
            <v>5789.1915801521609</v>
          </cell>
          <cell r="AW161">
            <v>3602.3748983051755</v>
          </cell>
          <cell r="AX161">
            <v>610.70395311250718</v>
          </cell>
          <cell r="AY161">
            <v>1038.9034891136928</v>
          </cell>
          <cell r="AZ161">
            <v>1738.0412232595863</v>
          </cell>
          <cell r="BA161">
            <v>1740.0103999999999</v>
          </cell>
          <cell r="BB161">
            <v>23.788499999999999</v>
          </cell>
          <cell r="BC161">
            <v>115.00719171194874</v>
          </cell>
          <cell r="BD161">
            <v>1736.8393000000001</v>
          </cell>
          <cell r="BE161">
            <v>51.46658154403962</v>
          </cell>
          <cell r="BF161">
            <v>187.81490695364238</v>
          </cell>
          <cell r="BG161">
            <v>22.4223</v>
          </cell>
          <cell r="BI161">
            <v>38.239699999999999</v>
          </cell>
          <cell r="BJ161">
            <v>53.7121</v>
          </cell>
          <cell r="BP161">
            <v>16.694500000000001</v>
          </cell>
          <cell r="BS161">
            <v>31.769500000000004</v>
          </cell>
          <cell r="DO161">
            <v>161</v>
          </cell>
        </row>
        <row r="162">
          <cell r="A162" t="str">
            <v>Huntington-Ashland, WV-KY-OH Metro Area</v>
          </cell>
          <cell r="B162">
            <v>6302.7808534002961</v>
          </cell>
          <cell r="C162">
            <v>3589.9756879095685</v>
          </cell>
          <cell r="D162">
            <v>3432.2013636248635</v>
          </cell>
          <cell r="E162">
            <v>1718.252450074895</v>
          </cell>
          <cell r="F162">
            <v>612.76554343163536</v>
          </cell>
          <cell r="G162">
            <v>464.49874169910692</v>
          </cell>
          <cell r="H162">
            <v>1756.2130091395086</v>
          </cell>
          <cell r="I162">
            <v>1777.0376227221941</v>
          </cell>
          <cell r="J162">
            <v>390.28461648863328</v>
          </cell>
          <cell r="K162">
            <v>371.42024312589155</v>
          </cell>
          <cell r="L162">
            <v>1392.0946046540435</v>
          </cell>
          <cell r="M162">
            <v>1021.2970410138888</v>
          </cell>
          <cell r="N162">
            <v>2237.4746</v>
          </cell>
          <cell r="O162">
            <v>793.39365021130061</v>
          </cell>
          <cell r="P162">
            <v>1024.5417101811313</v>
          </cell>
          <cell r="Q162">
            <v>358.62887295492487</v>
          </cell>
          <cell r="R162">
            <v>2335.7916405430797</v>
          </cell>
          <cell r="S162">
            <v>734.49030635445683</v>
          </cell>
          <cell r="T162">
            <v>213.53282367301233</v>
          </cell>
          <cell r="U162">
            <v>76.458445430193933</v>
          </cell>
          <cell r="X162">
            <v>56.179896550008287</v>
          </cell>
          <cell r="Z162">
            <v>51.030099999999997</v>
          </cell>
          <cell r="AE162">
            <v>91.844399999999993</v>
          </cell>
          <cell r="AH162">
            <v>29.753900000000002</v>
          </cell>
          <cell r="AI162">
            <v>27.851600000000001</v>
          </cell>
          <cell r="AK162">
            <v>256.7285</v>
          </cell>
          <cell r="DO162">
            <v>162</v>
          </cell>
        </row>
        <row r="163">
          <cell r="A163" t="str">
            <v>Huntsville, AL Metro Area</v>
          </cell>
          <cell r="B163">
            <v>1945.7551000000001</v>
          </cell>
          <cell r="C163">
            <v>2694.312946088949</v>
          </cell>
          <cell r="D163">
            <v>2454.5056928508807</v>
          </cell>
          <cell r="E163">
            <v>2671.3867834018229</v>
          </cell>
          <cell r="F163">
            <v>1191.1355816995331</v>
          </cell>
          <cell r="G163">
            <v>1034.8291124783439</v>
          </cell>
          <cell r="H163">
            <v>1191.0040918935417</v>
          </cell>
          <cell r="I163">
            <v>995.16891206680907</v>
          </cell>
          <cell r="J163">
            <v>1534.0274935669897</v>
          </cell>
          <cell r="K163">
            <v>505.53525001996007</v>
          </cell>
          <cell r="L163">
            <v>828.61680205873131</v>
          </cell>
          <cell r="M163">
            <v>644.4329368022585</v>
          </cell>
          <cell r="N163">
            <v>63.392856185900406</v>
          </cell>
          <cell r="O163">
            <v>47.784300000000002</v>
          </cell>
          <cell r="P163">
            <v>230.3186</v>
          </cell>
          <cell r="Q163">
            <v>190.69088855434325</v>
          </cell>
          <cell r="R163">
            <v>125.18376010884668</v>
          </cell>
          <cell r="T163">
            <v>114.0956</v>
          </cell>
          <cell r="W163">
            <v>366.7616835965747</v>
          </cell>
          <cell r="X163">
            <v>362.00725665732728</v>
          </cell>
          <cell r="Y163">
            <v>1177.0713272727273</v>
          </cell>
          <cell r="Z163">
            <v>208.55070000000001</v>
          </cell>
          <cell r="AA163">
            <v>64.314099999999996</v>
          </cell>
          <cell r="AB163">
            <v>164.83940000000001</v>
          </cell>
          <cell r="AG163">
            <v>86.954099999999997</v>
          </cell>
          <cell r="AJ163">
            <v>38.733800000000002</v>
          </cell>
          <cell r="DO163">
            <v>163</v>
          </cell>
        </row>
        <row r="164">
          <cell r="A164" t="str">
            <v>Idaho Falls, ID Metro Area</v>
          </cell>
          <cell r="B164">
            <v>3620.9652121532363</v>
          </cell>
          <cell r="C164">
            <v>2764.5011221169407</v>
          </cell>
          <cell r="D164">
            <v>2423.0232258426968</v>
          </cell>
          <cell r="E164">
            <v>224.32200000000003</v>
          </cell>
          <cell r="F164">
            <v>1196.642012832596</v>
          </cell>
          <cell r="G164">
            <v>104.59426193747039</v>
          </cell>
          <cell r="J164">
            <v>103.70489999999998</v>
          </cell>
          <cell r="M164">
            <v>2.5941000000000001</v>
          </cell>
          <cell r="O164">
            <v>259.79649999999998</v>
          </cell>
          <cell r="P164">
            <v>93.168496520730656</v>
          </cell>
          <cell r="AA164">
            <v>4.0484999999999998</v>
          </cell>
          <cell r="DO164">
            <v>164</v>
          </cell>
        </row>
        <row r="165">
          <cell r="A165" t="str">
            <v>Indianapolis-Carmel, IN Metro Area</v>
          </cell>
          <cell r="B165">
            <v>4346.0447269147589</v>
          </cell>
          <cell r="C165">
            <v>6563.0821368892312</v>
          </cell>
          <cell r="D165">
            <v>4895.1377203666734</v>
          </cell>
          <cell r="E165">
            <v>4683.221947157982</v>
          </cell>
          <cell r="F165">
            <v>4228.3429132506399</v>
          </cell>
          <cell r="G165">
            <v>3541.3692412479181</v>
          </cell>
          <cell r="H165">
            <v>3062.9923272906794</v>
          </cell>
          <cell r="I165">
            <v>3077.2829047018608</v>
          </cell>
          <cell r="J165">
            <v>3136.6064839007922</v>
          </cell>
          <cell r="K165">
            <v>3096.3939612450959</v>
          </cell>
          <cell r="L165">
            <v>2284.4835221584176</v>
          </cell>
          <cell r="M165">
            <v>1416.3765662502133</v>
          </cell>
          <cell r="N165">
            <v>1458.5920981850381</v>
          </cell>
          <cell r="O165">
            <v>1341.8860866440555</v>
          </cell>
          <cell r="P165">
            <v>1369.694473922784</v>
          </cell>
          <cell r="Q165">
            <v>1516.9337930473448</v>
          </cell>
          <cell r="R165">
            <v>2315.8460157083928</v>
          </cell>
          <cell r="S165">
            <v>387.69741825316089</v>
          </cell>
          <cell r="T165">
            <v>224.59912938619286</v>
          </cell>
          <cell r="U165">
            <v>1147.6074278591559</v>
          </cell>
          <cell r="V165">
            <v>730.03401698733205</v>
          </cell>
          <cell r="W165">
            <v>1752.4610787019533</v>
          </cell>
          <cell r="X165">
            <v>235.78289111617312</v>
          </cell>
          <cell r="Y165">
            <v>495.42765920707126</v>
          </cell>
          <cell r="Z165">
            <v>47.98322908458865</v>
          </cell>
          <cell r="AA165">
            <v>624.82987273857793</v>
          </cell>
          <cell r="AB165">
            <v>1909.8967379767707</v>
          </cell>
          <cell r="AC165">
            <v>2208.9248696865493</v>
          </cell>
          <cell r="AD165">
            <v>73.380241731634172</v>
          </cell>
          <cell r="AE165">
            <v>110.045</v>
          </cell>
          <cell r="AF165">
            <v>1190.9025600158911</v>
          </cell>
          <cell r="AG165">
            <v>74.087929616571174</v>
          </cell>
          <cell r="AI165">
            <v>57.538219473978735</v>
          </cell>
          <cell r="AL165">
            <v>49.835975520195838</v>
          </cell>
          <cell r="AM165">
            <v>280.62490195366797</v>
          </cell>
          <cell r="AN165">
            <v>323.45819999999998</v>
          </cell>
          <cell r="AQ165">
            <v>33.096299999999999</v>
          </cell>
          <cell r="AR165">
            <v>47.632619948427028</v>
          </cell>
          <cell r="DO165">
            <v>165</v>
          </cell>
        </row>
        <row r="166">
          <cell r="A166" t="str">
            <v>Iowa City, IA Metro Area</v>
          </cell>
          <cell r="B166">
            <v>10302.158432579685</v>
          </cell>
          <cell r="C166">
            <v>3242.556751340243</v>
          </cell>
          <cell r="D166">
            <v>1776.8583998044292</v>
          </cell>
          <cell r="E166">
            <v>4467.009</v>
          </cell>
          <cell r="F166">
            <v>758.7016000000001</v>
          </cell>
          <cell r="G166">
            <v>41.127400000000002</v>
          </cell>
          <cell r="H166">
            <v>422.62569999999994</v>
          </cell>
          <cell r="I166">
            <v>38.134900000000002</v>
          </cell>
          <cell r="J166">
            <v>55.700334641989151</v>
          </cell>
          <cell r="O166">
            <v>71.218599999999995</v>
          </cell>
          <cell r="P166">
            <v>57.630200000000002</v>
          </cell>
          <cell r="AA166">
            <v>239.8231247893516</v>
          </cell>
          <cell r="AB166">
            <v>351.41503271215595</v>
          </cell>
          <cell r="DO166">
            <v>166</v>
          </cell>
        </row>
        <row r="167">
          <cell r="A167" t="str">
            <v>Ithaca, NY Metro Area</v>
          </cell>
          <cell r="B167">
            <v>13466.544168911385</v>
          </cell>
          <cell r="C167">
            <v>1513.1716760671009</v>
          </cell>
          <cell r="D167">
            <v>1469.4450486592393</v>
          </cell>
          <cell r="F167">
            <v>302.69040000000001</v>
          </cell>
          <cell r="G167">
            <v>169.87719999999999</v>
          </cell>
          <cell r="H167">
            <v>71.074350516307106</v>
          </cell>
          <cell r="I167">
            <v>77.622299999999996</v>
          </cell>
          <cell r="K167">
            <v>119.71723081979056</v>
          </cell>
          <cell r="L167">
            <v>188.0549</v>
          </cell>
          <cell r="N167">
            <v>147.4735</v>
          </cell>
          <cell r="DO167">
            <v>167</v>
          </cell>
        </row>
        <row r="168">
          <cell r="A168" t="str">
            <v>Jackson, MI Metro Area</v>
          </cell>
          <cell r="B168">
            <v>6060.7581329709938</v>
          </cell>
          <cell r="C168">
            <v>2356.8180660939638</v>
          </cell>
          <cell r="D168">
            <v>1197.3229538052281</v>
          </cell>
          <cell r="E168">
            <v>1500.3561316779535</v>
          </cell>
          <cell r="F168">
            <v>397.70720015994237</v>
          </cell>
          <cell r="H168">
            <v>337.33990000000006</v>
          </cell>
          <cell r="I168">
            <v>239.98779999999999</v>
          </cell>
          <cell r="J168">
            <v>130.66399999999999</v>
          </cell>
          <cell r="K168">
            <v>94.541211790799181</v>
          </cell>
          <cell r="L168">
            <v>144.47000059644841</v>
          </cell>
          <cell r="M168">
            <v>65.505300000000005</v>
          </cell>
          <cell r="N168">
            <v>125.08039653637252</v>
          </cell>
          <cell r="O168">
            <v>66.022042732769037</v>
          </cell>
          <cell r="P168">
            <v>112.2196</v>
          </cell>
          <cell r="DO168">
            <v>168</v>
          </cell>
        </row>
        <row r="169">
          <cell r="A169" t="str">
            <v>Jackson, MS Metro Area</v>
          </cell>
          <cell r="B169">
            <v>438.58120000000002</v>
          </cell>
          <cell r="C169">
            <v>4228.3822931053528</v>
          </cell>
          <cell r="D169">
            <v>3219.6525722134465</v>
          </cell>
          <cell r="E169">
            <v>3303.0841644305569</v>
          </cell>
          <cell r="F169">
            <v>2969.3446433478707</v>
          </cell>
          <cell r="G169">
            <v>1907.927203001906</v>
          </cell>
          <cell r="H169">
            <v>925.61035691574716</v>
          </cell>
          <cell r="I169">
            <v>1541.4737160561097</v>
          </cell>
          <cell r="J169">
            <v>1442.9704210149475</v>
          </cell>
          <cell r="K169">
            <v>1347.1446313375641</v>
          </cell>
          <cell r="L169">
            <v>856.14281052953368</v>
          </cell>
          <cell r="M169">
            <v>559.41160000000002</v>
          </cell>
          <cell r="N169">
            <v>297.85454890659582</v>
          </cell>
          <cell r="O169">
            <v>177.24099861983473</v>
          </cell>
          <cell r="P169">
            <v>171.57794488069925</v>
          </cell>
          <cell r="Q169">
            <v>77.800700000000006</v>
          </cell>
          <cell r="S169">
            <v>46.826300000000003</v>
          </cell>
          <cell r="T169">
            <v>31.412099999999999</v>
          </cell>
          <cell r="U169">
            <v>28.331099999999996</v>
          </cell>
          <cell r="W169">
            <v>32.799500000000002</v>
          </cell>
          <cell r="X169">
            <v>30.768845018017263</v>
          </cell>
          <cell r="Y169">
            <v>871.40575556395652</v>
          </cell>
          <cell r="Z169">
            <v>310.77581640866873</v>
          </cell>
          <cell r="AC169">
            <v>29.421399999999998</v>
          </cell>
          <cell r="AD169">
            <v>22.432356163672239</v>
          </cell>
          <cell r="AE169">
            <v>163.29939999999999</v>
          </cell>
          <cell r="AH169">
            <v>673.13499999999999</v>
          </cell>
          <cell r="AJ169">
            <v>42.3262</v>
          </cell>
          <cell r="AM169">
            <v>29.568617149131562</v>
          </cell>
          <cell r="AN169">
            <v>31.429099999999995</v>
          </cell>
          <cell r="AO169">
            <v>359.05137154534839</v>
          </cell>
          <cell r="DO169">
            <v>169</v>
          </cell>
        </row>
        <row r="170">
          <cell r="A170" t="str">
            <v>Jackson, TN Metro Area</v>
          </cell>
          <cell r="B170">
            <v>2608.0308618743343</v>
          </cell>
          <cell r="C170">
            <v>2433.1337821813017</v>
          </cell>
          <cell r="E170">
            <v>716.71067532343875</v>
          </cell>
          <cell r="F170">
            <v>1029.1139062518605</v>
          </cell>
          <cell r="H170">
            <v>679.26075908139148</v>
          </cell>
          <cell r="I170">
            <v>335.7312</v>
          </cell>
          <cell r="J170">
            <v>61.074020271142672</v>
          </cell>
          <cell r="K170">
            <v>42.952318521994137</v>
          </cell>
          <cell r="L170">
            <v>19.857800000000001</v>
          </cell>
          <cell r="M170">
            <v>111.6159</v>
          </cell>
          <cell r="Q170">
            <v>758.46400000000006</v>
          </cell>
          <cell r="R170">
            <v>41.364600000000003</v>
          </cell>
          <cell r="U170">
            <v>34.407699999999998</v>
          </cell>
          <cell r="DO170">
            <v>170</v>
          </cell>
        </row>
        <row r="171">
          <cell r="A171" t="str">
            <v>Jacksonville, FL Metro Area</v>
          </cell>
          <cell r="B171">
            <v>6729.5667623045892</v>
          </cell>
          <cell r="C171">
            <v>4439.6517916174771</v>
          </cell>
          <cell r="D171">
            <v>4455.9695993232945</v>
          </cell>
          <cell r="E171">
            <v>3799.0286453452263</v>
          </cell>
          <cell r="F171">
            <v>3452.859895015923</v>
          </cell>
          <cell r="G171">
            <v>3627.1619090021059</v>
          </cell>
          <cell r="H171">
            <v>2912.7650199610175</v>
          </cell>
          <cell r="I171">
            <v>2629.5589061904761</v>
          </cell>
          <cell r="J171">
            <v>2187.2869442432802</v>
          </cell>
          <cell r="K171">
            <v>2287.6075370803228</v>
          </cell>
          <cell r="L171">
            <v>2419.3082559125792</v>
          </cell>
          <cell r="M171">
            <v>2573.4367379136352</v>
          </cell>
          <cell r="N171">
            <v>1827.1508565399467</v>
          </cell>
          <cell r="O171">
            <v>2537.2136440729878</v>
          </cell>
          <cell r="P171">
            <v>2565.1613965332031</v>
          </cell>
          <cell r="Q171">
            <v>2294.7066344385662</v>
          </cell>
          <cell r="R171">
            <v>2090.8635288277574</v>
          </cell>
          <cell r="S171">
            <v>424.15991421496784</v>
          </cell>
          <cell r="T171">
            <v>1000.3773994242464</v>
          </cell>
          <cell r="U171">
            <v>1059.405506230303</v>
          </cell>
          <cell r="V171">
            <v>502.29867427483521</v>
          </cell>
          <cell r="W171">
            <v>258.54539848580441</v>
          </cell>
          <cell r="X171">
            <v>242.53068606146203</v>
          </cell>
          <cell r="Y171">
            <v>1743.2945</v>
          </cell>
          <cell r="Z171">
            <v>477.52625338456994</v>
          </cell>
          <cell r="AA171">
            <v>907.91118428102322</v>
          </cell>
          <cell r="AC171">
            <v>641.65530000000001</v>
          </cell>
          <cell r="AD171">
            <v>112.95760629370629</v>
          </cell>
          <cell r="AE171">
            <v>67.724299999999999</v>
          </cell>
          <cell r="AF171">
            <v>41.298343940578583</v>
          </cell>
          <cell r="AG171">
            <v>122.19985989966828</v>
          </cell>
          <cell r="AH171">
            <v>3.9622000000000002</v>
          </cell>
          <cell r="AK171">
            <v>841.72825254627105</v>
          </cell>
          <cell r="AL171">
            <v>1826.0479411146048</v>
          </cell>
          <cell r="AM171">
            <v>836.07747350435625</v>
          </cell>
          <cell r="AN171">
            <v>774.48230000000001</v>
          </cell>
          <cell r="AO171">
            <v>1827.8382298370373</v>
          </cell>
          <cell r="AP171">
            <v>1253.043979411128</v>
          </cell>
          <cell r="AQ171">
            <v>374.8448869849878</v>
          </cell>
          <cell r="AR171">
            <v>296.93400000000003</v>
          </cell>
          <cell r="AS171">
            <v>1843.4520156647275</v>
          </cell>
          <cell r="AT171">
            <v>428.33390000000003</v>
          </cell>
          <cell r="AV171">
            <v>41.229500000000002</v>
          </cell>
          <cell r="AW171">
            <v>148.78270000000001</v>
          </cell>
          <cell r="AX171">
            <v>22.334099999999999</v>
          </cell>
          <cell r="DO171">
            <v>171</v>
          </cell>
        </row>
        <row r="172">
          <cell r="A172" t="str">
            <v>Jacksonville, NC Metro Area</v>
          </cell>
          <cell r="B172">
            <v>1897.33</v>
          </cell>
          <cell r="C172">
            <v>2639.2989614883045</v>
          </cell>
          <cell r="D172">
            <v>2105.3808216556604</v>
          </cell>
          <cell r="E172">
            <v>989.32319722298723</v>
          </cell>
          <cell r="F172">
            <v>925.49563712841848</v>
          </cell>
          <cell r="G172">
            <v>903.57137191836739</v>
          </cell>
          <cell r="I172">
            <v>1165.9946214601543</v>
          </cell>
          <cell r="J172">
            <v>163.24760000000001</v>
          </cell>
          <cell r="K172">
            <v>186.47099378468369</v>
          </cell>
          <cell r="L172">
            <v>27.738</v>
          </cell>
          <cell r="M172">
            <v>11.5083</v>
          </cell>
          <cell r="O172">
            <v>247.29560506191615</v>
          </cell>
          <cell r="P172">
            <v>260.00380000000001</v>
          </cell>
          <cell r="Q172">
            <v>208.40909999999997</v>
          </cell>
          <cell r="R172">
            <v>39.244599999999998</v>
          </cell>
          <cell r="T172">
            <v>163.84610000000001</v>
          </cell>
          <cell r="DO172">
            <v>172</v>
          </cell>
        </row>
        <row r="173">
          <cell r="A173" t="str">
            <v>Janesville, WI Metro Area</v>
          </cell>
          <cell r="B173">
            <v>4314.9471066721981</v>
          </cell>
          <cell r="C173">
            <v>2990.0451125983868</v>
          </cell>
          <cell r="D173">
            <v>1407.1236187414813</v>
          </cell>
          <cell r="E173">
            <v>595.21720204572796</v>
          </cell>
          <cell r="F173">
            <v>171.53630000000001</v>
          </cell>
          <cell r="J173">
            <v>405.16764396031903</v>
          </cell>
          <cell r="K173">
            <v>83.243700000000004</v>
          </cell>
          <cell r="L173">
            <v>958.08937646020581</v>
          </cell>
          <cell r="M173">
            <v>3662.134848835165</v>
          </cell>
          <cell r="N173">
            <v>5268.3114715809197</v>
          </cell>
          <cell r="O173">
            <v>31.199099999999998</v>
          </cell>
          <cell r="Q173">
            <v>96.579499999999996</v>
          </cell>
          <cell r="DO173">
            <v>173</v>
          </cell>
        </row>
        <row r="174">
          <cell r="A174" t="str">
            <v>Jefferson City, MO Metro Area</v>
          </cell>
          <cell r="B174">
            <v>3206.6302012939618</v>
          </cell>
          <cell r="C174">
            <v>2193.6311999999998</v>
          </cell>
          <cell r="D174">
            <v>1004.733256597437</v>
          </cell>
          <cell r="F174">
            <v>410.32169999999996</v>
          </cell>
          <cell r="G174">
            <v>460.30939222222213</v>
          </cell>
          <cell r="H174">
            <v>165.53242194531819</v>
          </cell>
          <cell r="J174">
            <v>50.227699999999992</v>
          </cell>
          <cell r="L174">
            <v>71.3386</v>
          </cell>
          <cell r="O174">
            <v>40.949327709460569</v>
          </cell>
          <cell r="P174">
            <v>27.941548237663646</v>
          </cell>
          <cell r="Q174">
            <v>20.103499999999997</v>
          </cell>
          <cell r="U174">
            <v>20.1983</v>
          </cell>
          <cell r="V174">
            <v>30.556000000000001</v>
          </cell>
          <cell r="W174">
            <v>367.40979021183347</v>
          </cell>
          <cell r="X174">
            <v>718.65160000000003</v>
          </cell>
          <cell r="Y174">
            <v>604.63270000000011</v>
          </cell>
          <cell r="Z174">
            <v>17.373613597122301</v>
          </cell>
          <cell r="AB174">
            <v>15.5131</v>
          </cell>
          <cell r="AH174">
            <v>21.436599999999999</v>
          </cell>
          <cell r="AI174">
            <v>73.507800000000003</v>
          </cell>
          <cell r="DO174">
            <v>174</v>
          </cell>
        </row>
        <row r="175">
          <cell r="A175" t="str">
            <v>Johnson City, TN Metro Area</v>
          </cell>
          <cell r="B175">
            <v>2925.6072619561373</v>
          </cell>
          <cell r="C175">
            <v>2805.6721421676743</v>
          </cell>
          <cell r="D175">
            <v>1087.6639079676534</v>
          </cell>
          <cell r="E175">
            <v>630.42344150995962</v>
          </cell>
          <cell r="F175">
            <v>766.10815131039612</v>
          </cell>
          <cell r="G175">
            <v>542.77364030016679</v>
          </cell>
          <cell r="H175">
            <v>861.91444121771963</v>
          </cell>
          <cell r="I175">
            <v>545.17360207638421</v>
          </cell>
          <cell r="J175">
            <v>1218.3661</v>
          </cell>
          <cell r="K175">
            <v>246.37722441962714</v>
          </cell>
          <cell r="M175">
            <v>52.617699999999999</v>
          </cell>
          <cell r="N175">
            <v>1088.3167841423949</v>
          </cell>
          <cell r="O175">
            <v>139.08794206793905</v>
          </cell>
          <cell r="P175">
            <v>98.037499999999994</v>
          </cell>
          <cell r="Q175">
            <v>115.2152</v>
          </cell>
          <cell r="T175">
            <v>63.394949826610691</v>
          </cell>
          <cell r="V175">
            <v>25.442799999999998</v>
          </cell>
          <cell r="DO175">
            <v>175</v>
          </cell>
        </row>
        <row r="176">
          <cell r="A176" t="str">
            <v>Johnstown, PA Metro Area</v>
          </cell>
          <cell r="B176">
            <v>3214.5897599838972</v>
          </cell>
          <cell r="C176">
            <v>3739.6518616007925</v>
          </cell>
          <cell r="D176">
            <v>2710.3034232590526</v>
          </cell>
          <cell r="E176">
            <v>1055.7563255306943</v>
          </cell>
          <cell r="F176">
            <v>754.84756501198217</v>
          </cell>
          <cell r="G176">
            <v>765.67510000000004</v>
          </cell>
          <cell r="I176">
            <v>102.2933</v>
          </cell>
          <cell r="J176">
            <v>169.94019238264781</v>
          </cell>
          <cell r="M176">
            <v>889.93723672824103</v>
          </cell>
          <cell r="N176">
            <v>85.770600000000002</v>
          </cell>
          <cell r="O176">
            <v>4280.2888000000003</v>
          </cell>
          <cell r="P176">
            <v>138.22544815616087</v>
          </cell>
          <cell r="Q176">
            <v>1858.2889</v>
          </cell>
          <cell r="S176">
            <v>99.372799999999998</v>
          </cell>
          <cell r="U176">
            <v>494.56620000000004</v>
          </cell>
          <cell r="V176">
            <v>125.6323</v>
          </cell>
          <cell r="W176">
            <v>117.6345</v>
          </cell>
          <cell r="Y176">
            <v>87.690003307161561</v>
          </cell>
          <cell r="Z176">
            <v>1427.1131</v>
          </cell>
          <cell r="AB176">
            <v>86.118999999999986</v>
          </cell>
          <cell r="AJ176">
            <v>41.321300000000001</v>
          </cell>
          <cell r="DO176">
            <v>176</v>
          </cell>
        </row>
        <row r="177">
          <cell r="A177" t="str">
            <v>Jonesboro, AR Metro Area</v>
          </cell>
          <cell r="B177">
            <v>2716.2008163487017</v>
          </cell>
          <cell r="C177">
            <v>2710.3551526096298</v>
          </cell>
          <cell r="D177">
            <v>273.05197020425902</v>
          </cell>
          <cell r="E177">
            <v>594.40746631982199</v>
          </cell>
          <cell r="F177">
            <v>214.33484427282838</v>
          </cell>
          <cell r="H177">
            <v>20.9316</v>
          </cell>
          <cell r="J177">
            <v>52.678699999999999</v>
          </cell>
          <cell r="M177">
            <v>62.946399999999997</v>
          </cell>
          <cell r="Q177">
            <v>695.15160000000003</v>
          </cell>
          <cell r="R177">
            <v>354.7645</v>
          </cell>
          <cell r="T177">
            <v>34.910299010600703</v>
          </cell>
          <cell r="V177">
            <v>29.978999999999999</v>
          </cell>
          <cell r="W177">
            <v>8.1268999999999991</v>
          </cell>
          <cell r="AB177">
            <v>326.5684</v>
          </cell>
          <cell r="AC177">
            <v>31.648800000000001</v>
          </cell>
          <cell r="DO177">
            <v>177</v>
          </cell>
        </row>
        <row r="178">
          <cell r="A178" t="str">
            <v>Joplin, MO Metro Area</v>
          </cell>
          <cell r="B178">
            <v>3729.8186999999998</v>
          </cell>
          <cell r="C178">
            <v>2851.806556605246</v>
          </cell>
          <cell r="D178">
            <v>748.17330451927342</v>
          </cell>
          <cell r="E178">
            <v>508.31814272073507</v>
          </cell>
          <cell r="G178">
            <v>592.19857112664056</v>
          </cell>
          <cell r="H178">
            <v>97.055999999999997</v>
          </cell>
          <cell r="I178">
            <v>213.01544788440765</v>
          </cell>
          <cell r="L178">
            <v>74.103099999999998</v>
          </cell>
          <cell r="M178">
            <v>745.72739999999999</v>
          </cell>
          <cell r="N178">
            <v>584.23233103731991</v>
          </cell>
          <cell r="O178">
            <v>39.94339999999999</v>
          </cell>
          <cell r="R178">
            <v>309.351</v>
          </cell>
          <cell r="S178">
            <v>761.99961174331213</v>
          </cell>
          <cell r="T178">
            <v>58.648710005944125</v>
          </cell>
          <cell r="U178">
            <v>51.113602426480277</v>
          </cell>
          <cell r="AB178">
            <v>25.2728</v>
          </cell>
          <cell r="DO178">
            <v>178</v>
          </cell>
        </row>
        <row r="179">
          <cell r="A179" t="str">
            <v>Kalamazoo-Portage, MI Metro Area</v>
          </cell>
          <cell r="B179">
            <v>5939.0102834496947</v>
          </cell>
          <cell r="C179">
            <v>5019.0053345966298</v>
          </cell>
          <cell r="D179">
            <v>2948.1822036618341</v>
          </cell>
          <cell r="E179">
            <v>1224.6861179262532</v>
          </cell>
          <cell r="F179">
            <v>1445.2736757392472</v>
          </cell>
          <cell r="G179">
            <v>1432.0085586957769</v>
          </cell>
          <cell r="H179">
            <v>500.0446</v>
          </cell>
          <cell r="I179">
            <v>498.04280495990912</v>
          </cell>
          <cell r="J179">
            <v>337.94325072053522</v>
          </cell>
          <cell r="L179">
            <v>72.494500000000002</v>
          </cell>
          <cell r="M179">
            <v>220.8673305995865</v>
          </cell>
          <cell r="N179">
            <v>212.72453602057021</v>
          </cell>
          <cell r="O179">
            <v>81.598988678171807</v>
          </cell>
          <cell r="P179">
            <v>228.53329913130636</v>
          </cell>
          <cell r="R179">
            <v>100.2559</v>
          </cell>
          <cell r="S179">
            <v>202.7328</v>
          </cell>
          <cell r="V179">
            <v>92.990600000000015</v>
          </cell>
          <cell r="AB179">
            <v>88.300662328451679</v>
          </cell>
          <cell r="AD179">
            <v>96.317700000000002</v>
          </cell>
          <cell r="AF179">
            <v>161.32764719361185</v>
          </cell>
          <cell r="AJ179">
            <v>207.3741</v>
          </cell>
          <cell r="AK179">
            <v>1070.4682883216783</v>
          </cell>
          <cell r="DO179">
            <v>179</v>
          </cell>
        </row>
        <row r="180">
          <cell r="A180" t="str">
            <v>Kankakee-Bradley, IL Metro Area</v>
          </cell>
          <cell r="B180">
            <v>5259.8079220737673</v>
          </cell>
          <cell r="C180">
            <v>2108.1980701820462</v>
          </cell>
          <cell r="D180">
            <v>2048.3807783973834</v>
          </cell>
          <cell r="E180">
            <v>650.77105105802048</v>
          </cell>
          <cell r="F180">
            <v>676.41043114155241</v>
          </cell>
          <cell r="G180">
            <v>84.838499999999996</v>
          </cell>
          <cell r="I180">
            <v>48.348700000000001</v>
          </cell>
          <cell r="K180">
            <v>192.5253362777778</v>
          </cell>
          <cell r="O180">
            <v>55.735664200040667</v>
          </cell>
          <cell r="P180">
            <v>29.957400000000003</v>
          </cell>
          <cell r="DO180">
            <v>180</v>
          </cell>
        </row>
        <row r="181">
          <cell r="A181" t="str">
            <v>Kansas City, MO-KS Metro Area</v>
          </cell>
          <cell r="B181">
            <v>4197.9756688275584</v>
          </cell>
          <cell r="C181">
            <v>4827.2564749977082</v>
          </cell>
          <cell r="D181">
            <v>6564.486008629533</v>
          </cell>
          <cell r="E181">
            <v>5597.0478877063606</v>
          </cell>
          <cell r="F181">
            <v>4161.8610041865986</v>
          </cell>
          <cell r="G181">
            <v>3442.4346256151734</v>
          </cell>
          <cell r="H181">
            <v>3104.5779183582786</v>
          </cell>
          <cell r="I181">
            <v>2986.0924263003753</v>
          </cell>
          <cell r="J181">
            <v>3227.3841393347279</v>
          </cell>
          <cell r="K181">
            <v>2367.8739485692327</v>
          </cell>
          <cell r="L181">
            <v>3018.8208809900884</v>
          </cell>
          <cell r="M181">
            <v>2356.3577031844666</v>
          </cell>
          <cell r="N181">
            <v>2581.3718310965255</v>
          </cell>
          <cell r="O181">
            <v>2520.9194684831846</v>
          </cell>
          <cell r="P181">
            <v>2001.8392740199213</v>
          </cell>
          <cell r="Q181">
            <v>2291.2953235031164</v>
          </cell>
          <cell r="R181">
            <v>2402.4985791182467</v>
          </cell>
          <cell r="S181">
            <v>2425.7873151366225</v>
          </cell>
          <cell r="T181">
            <v>2072.9558300105291</v>
          </cell>
          <cell r="U181">
            <v>2579.5389398256802</v>
          </cell>
          <cell r="V181">
            <v>1022.8764886705726</v>
          </cell>
          <cell r="W181">
            <v>504.37386180540892</v>
          </cell>
          <cell r="X181">
            <v>110.62375777044043</v>
          </cell>
          <cell r="Y181">
            <v>1462.4944412107623</v>
          </cell>
          <cell r="Z181">
            <v>1554.4426335377484</v>
          </cell>
          <cell r="AA181">
            <v>548.7295383285192</v>
          </cell>
          <cell r="AB181">
            <v>710.41271581448598</v>
          </cell>
          <cell r="AC181">
            <v>393.11929504558071</v>
          </cell>
          <cell r="AD181">
            <v>49.31035321659688</v>
          </cell>
          <cell r="AE181">
            <v>37.405660597057157</v>
          </cell>
          <cell r="AF181">
            <v>68.398600000000002</v>
          </cell>
          <cell r="AG181">
            <v>48.690418086139886</v>
          </cell>
          <cell r="AH181">
            <v>214.9898894865272</v>
          </cell>
          <cell r="AI181">
            <v>768.84831486229348</v>
          </cell>
          <cell r="AJ181">
            <v>206.81181933077099</v>
          </cell>
          <cell r="AK181">
            <v>43.785200000000003</v>
          </cell>
          <cell r="AL181">
            <v>33.514299999999999</v>
          </cell>
          <cell r="AO181">
            <v>328.09756712594179</v>
          </cell>
          <cell r="AP181">
            <v>44.543525519445922</v>
          </cell>
          <cell r="AQ181">
            <v>32.47</v>
          </cell>
          <cell r="AS181">
            <v>20.231000000000002</v>
          </cell>
          <cell r="AT181">
            <v>26.866199999999996</v>
          </cell>
          <cell r="AV181">
            <v>123.2724</v>
          </cell>
          <cell r="AW181">
            <v>173.69401337394513</v>
          </cell>
          <cell r="AX181">
            <v>26.9819</v>
          </cell>
          <cell r="AY181">
            <v>179.55359999999999</v>
          </cell>
          <cell r="AZ181">
            <v>1138.0514000000001</v>
          </cell>
          <cell r="BA181">
            <v>281.36784298365126</v>
          </cell>
          <cell r="BB181">
            <v>17.3992</v>
          </cell>
          <cell r="BC181">
            <v>17.8779</v>
          </cell>
          <cell r="BD181">
            <v>14.815200000000001</v>
          </cell>
          <cell r="BE181">
            <v>14.944816816910166</v>
          </cell>
          <cell r="BF181">
            <v>12.566700000000001</v>
          </cell>
          <cell r="BI181">
            <v>397.47899999999998</v>
          </cell>
          <cell r="BQ181">
            <v>18.254999999999999</v>
          </cell>
          <cell r="BS181">
            <v>14.395799999999999</v>
          </cell>
          <cell r="DO181">
            <v>181</v>
          </cell>
        </row>
        <row r="182">
          <cell r="A182" t="str">
            <v>Kennewick-Pasco-Richland, WA Metro Area</v>
          </cell>
          <cell r="B182">
            <v>5136.178675551565</v>
          </cell>
          <cell r="C182">
            <v>2558.7813763704767</v>
          </cell>
          <cell r="D182">
            <v>3333.8180164109895</v>
          </cell>
          <cell r="E182">
            <v>1801.5884342078834</v>
          </cell>
          <cell r="F182">
            <v>614.34889999999996</v>
          </cell>
          <cell r="G182">
            <v>2014.0568094482167</v>
          </cell>
          <cell r="H182">
            <v>1289.3048876528119</v>
          </cell>
          <cell r="I182">
            <v>1051.1946</v>
          </cell>
          <cell r="J182">
            <v>836.28503661071136</v>
          </cell>
          <cell r="K182">
            <v>3977.7827038818677</v>
          </cell>
          <cell r="L182">
            <v>1809.8774555842144</v>
          </cell>
          <cell r="M182">
            <v>904.22274370570801</v>
          </cell>
          <cell r="N182">
            <v>521.86890439603962</v>
          </cell>
          <cell r="O182">
            <v>17.215800000000002</v>
          </cell>
          <cell r="P182">
            <v>152.34569999999999</v>
          </cell>
          <cell r="R182">
            <v>111.9683</v>
          </cell>
          <cell r="U182">
            <v>69.421472745723406</v>
          </cell>
          <cell r="W182">
            <v>6.7999999999999996E-3</v>
          </cell>
          <cell r="Y182">
            <v>1.3894999999999997</v>
          </cell>
          <cell r="AF182">
            <v>17.120100000000001</v>
          </cell>
          <cell r="AG182">
            <v>218.98500363128491</v>
          </cell>
          <cell r="DO182">
            <v>182</v>
          </cell>
        </row>
        <row r="183">
          <cell r="A183" t="str">
            <v>Killeen-Temple-Fort Hood, TX Metro Area</v>
          </cell>
          <cell r="B183">
            <v>5366.052482079418</v>
          </cell>
          <cell r="C183">
            <v>3909.1113261584919</v>
          </cell>
          <cell r="D183">
            <v>2475.4399315781739</v>
          </cell>
          <cell r="E183">
            <v>3711.169324512718</v>
          </cell>
          <cell r="F183">
            <v>2606.7253931457722</v>
          </cell>
          <cell r="G183">
            <v>1401.37862300397</v>
          </cell>
          <cell r="H183">
            <v>584.14933968266314</v>
          </cell>
          <cell r="I183">
            <v>0</v>
          </cell>
          <cell r="J183">
            <v>53.086740713053473</v>
          </cell>
          <cell r="K183">
            <v>2187.6072111394456</v>
          </cell>
          <cell r="L183">
            <v>2472.7030734016316</v>
          </cell>
          <cell r="M183">
            <v>1783.4282557200165</v>
          </cell>
          <cell r="N183">
            <v>55.874400000000009</v>
          </cell>
          <cell r="O183">
            <v>106.05869102696029</v>
          </cell>
          <cell r="Q183">
            <v>616.6746284164858</v>
          </cell>
          <cell r="R183">
            <v>643.88871531343977</v>
          </cell>
          <cell r="S183">
            <v>66.170600756227742</v>
          </cell>
          <cell r="T183">
            <v>72.847143466577094</v>
          </cell>
          <cell r="V183">
            <v>1461.6812692512133</v>
          </cell>
          <cell r="W183">
            <v>3056.7994896038176</v>
          </cell>
          <cell r="X183">
            <v>1289.1697525740349</v>
          </cell>
          <cell r="Y183">
            <v>1161.5134441401196</v>
          </cell>
          <cell r="Z183">
            <v>1632.091442821365</v>
          </cell>
          <cell r="AB183">
            <v>373.62299999999999</v>
          </cell>
          <cell r="AC183">
            <v>248.70839901125126</v>
          </cell>
          <cell r="AE183">
            <v>31.204699999999995</v>
          </cell>
          <cell r="AI183">
            <v>5.2884000000000002</v>
          </cell>
          <cell r="DO183">
            <v>183</v>
          </cell>
        </row>
        <row r="184">
          <cell r="A184" t="str">
            <v>Kingsport-Bristol-Bristol, TN-VA Metro Area</v>
          </cell>
          <cell r="B184">
            <v>1463.0704442037372</v>
          </cell>
          <cell r="C184">
            <v>2200.9397117805865</v>
          </cell>
          <cell r="D184">
            <v>1333.012736941268</v>
          </cell>
          <cell r="E184">
            <v>1205.5186000000001</v>
          </cell>
          <cell r="F184">
            <v>461.79639146427741</v>
          </cell>
          <cell r="G184">
            <v>582.33973935389133</v>
          </cell>
          <cell r="H184">
            <v>357.95633544881991</v>
          </cell>
          <cell r="I184">
            <v>519.86655360610837</v>
          </cell>
          <cell r="K184">
            <v>145.74151953754222</v>
          </cell>
          <cell r="L184">
            <v>114.213191026827</v>
          </cell>
          <cell r="N184">
            <v>45.648000000000003</v>
          </cell>
          <cell r="O184">
            <v>258.65149855315082</v>
          </cell>
          <cell r="P184">
            <v>250.45144762371018</v>
          </cell>
          <cell r="R184">
            <v>29.803726240409208</v>
          </cell>
          <cell r="S184">
            <v>344.84814264453348</v>
          </cell>
          <cell r="T184">
            <v>251.18735407432209</v>
          </cell>
          <cell r="U184">
            <v>1456.7086999999999</v>
          </cell>
          <cell r="V184">
            <v>867.26212724588402</v>
          </cell>
          <cell r="W184">
            <v>1298.6752002981707</v>
          </cell>
          <cell r="X184">
            <v>1363.6935126566798</v>
          </cell>
          <cell r="Y184">
            <v>870.03053456312955</v>
          </cell>
          <cell r="AA184">
            <v>229.83879999999999</v>
          </cell>
          <cell r="AC184">
            <v>297.32365073067552</v>
          </cell>
          <cell r="AD184">
            <v>58.131657163267953</v>
          </cell>
          <cell r="AF184">
            <v>30.8277</v>
          </cell>
          <cell r="AG184">
            <v>165.97329999999999</v>
          </cell>
          <cell r="AH184">
            <v>231.39779999999996</v>
          </cell>
          <cell r="AI184">
            <v>91.773474074074073</v>
          </cell>
          <cell r="AK184">
            <v>626.03596723759324</v>
          </cell>
          <cell r="AN184">
            <v>63.370699999999999</v>
          </cell>
          <cell r="AO184">
            <v>198.99080000000001</v>
          </cell>
          <cell r="AP184">
            <v>103.7563</v>
          </cell>
          <cell r="AR184">
            <v>172.0762</v>
          </cell>
          <cell r="AV184">
            <v>63.788526687116558</v>
          </cell>
          <cell r="DO184">
            <v>184</v>
          </cell>
        </row>
        <row r="185">
          <cell r="A185" t="str">
            <v>Kingston, NY Metro Area</v>
          </cell>
          <cell r="B185">
            <v>4457.7581527072198</v>
          </cell>
          <cell r="C185">
            <v>1858.8726221588036</v>
          </cell>
          <cell r="D185">
            <v>2111.8842617224882</v>
          </cell>
          <cell r="F185">
            <v>349.32236712201706</v>
          </cell>
          <cell r="G185">
            <v>208.45441932974953</v>
          </cell>
          <cell r="I185">
            <v>242.82069999999999</v>
          </cell>
          <cell r="J185">
            <v>318.28270055444665</v>
          </cell>
          <cell r="K185">
            <v>506.65732245102242</v>
          </cell>
          <cell r="L185">
            <v>2177.54</v>
          </cell>
          <cell r="N185">
            <v>680.53321299419406</v>
          </cell>
          <cell r="O185">
            <v>433.79167531341227</v>
          </cell>
          <cell r="P185">
            <v>831.09370667457733</v>
          </cell>
          <cell r="R185">
            <v>86.934399999999997</v>
          </cell>
          <cell r="T185">
            <v>210.51386186133178</v>
          </cell>
          <cell r="V185">
            <v>200.41769469226898</v>
          </cell>
          <cell r="W185">
            <v>616.90570000000002</v>
          </cell>
          <cell r="X185">
            <v>143.96889999999999</v>
          </cell>
          <cell r="Y185">
            <v>304.16021513190645</v>
          </cell>
          <cell r="AA185">
            <v>410.78818624920331</v>
          </cell>
          <cell r="AB185">
            <v>6.1001000000000003</v>
          </cell>
          <cell r="AD185">
            <v>53.865400000000001</v>
          </cell>
          <cell r="DO185">
            <v>185</v>
          </cell>
        </row>
        <row r="186">
          <cell r="A186" t="str">
            <v>Knoxville, TN Metro Area</v>
          </cell>
          <cell r="B186">
            <v>5609.7949280504436</v>
          </cell>
          <cell r="C186">
            <v>3955.997475631033</v>
          </cell>
          <cell r="D186">
            <v>1987.8193026919696</v>
          </cell>
          <cell r="E186">
            <v>2163.5680126490556</v>
          </cell>
          <cell r="F186">
            <v>1724.1580698806074</v>
          </cell>
          <cell r="G186">
            <v>1449.0468737529388</v>
          </cell>
          <cell r="H186">
            <v>1339.4521770885781</v>
          </cell>
          <cell r="I186">
            <v>1272.0122024577984</v>
          </cell>
          <cell r="J186">
            <v>1251.8103105135231</v>
          </cell>
          <cell r="K186">
            <v>1292.4289980584249</v>
          </cell>
          <cell r="L186">
            <v>880.41961349905307</v>
          </cell>
          <cell r="M186">
            <v>1042.235602045618</v>
          </cell>
          <cell r="N186">
            <v>657.44258742179704</v>
          </cell>
          <cell r="O186">
            <v>1462.3159902254783</v>
          </cell>
          <cell r="P186">
            <v>597.44426961958595</v>
          </cell>
          <cell r="Q186">
            <v>1198.4339273786409</v>
          </cell>
          <cell r="R186">
            <v>198.62034137600384</v>
          </cell>
          <cell r="S186">
            <v>700.4235463113007</v>
          </cell>
          <cell r="T186">
            <v>1173.7275003409388</v>
          </cell>
          <cell r="U186">
            <v>390.61789298174443</v>
          </cell>
          <cell r="V186">
            <v>457.44671726323628</v>
          </cell>
          <cell r="W186">
            <v>223.20892669768276</v>
          </cell>
          <cell r="X186">
            <v>984.85971202017981</v>
          </cell>
          <cell r="Y186">
            <v>772.14882477742003</v>
          </cell>
          <cell r="Z186">
            <v>68.368130341653384</v>
          </cell>
          <cell r="AA186">
            <v>188.50477550848882</v>
          </cell>
          <cell r="AB186">
            <v>230.85229496563576</v>
          </cell>
          <cell r="AC186">
            <v>23.537500000000001</v>
          </cell>
          <cell r="AE186">
            <v>245.50069999999999</v>
          </cell>
          <cell r="AF186">
            <v>152.65190000000001</v>
          </cell>
          <cell r="AK186">
            <v>43.236400000000003</v>
          </cell>
          <cell r="DO186">
            <v>186</v>
          </cell>
        </row>
        <row r="187">
          <cell r="A187" t="str">
            <v>Kokomo, IN Metro Area</v>
          </cell>
          <cell r="B187">
            <v>4208.83571945122</v>
          </cell>
          <cell r="C187">
            <v>2645.5352305415645</v>
          </cell>
          <cell r="D187">
            <v>1299.2348878801233</v>
          </cell>
          <cell r="E187">
            <v>645.18380918547257</v>
          </cell>
          <cell r="F187">
            <v>1716.5429451973682</v>
          </cell>
          <cell r="H187">
            <v>143.9076</v>
          </cell>
          <cell r="I187">
            <v>50.9754</v>
          </cell>
          <cell r="J187">
            <v>60.620899999999999</v>
          </cell>
          <cell r="K187">
            <v>83.404899999999998</v>
          </cell>
          <cell r="P187">
            <v>218.4598</v>
          </cell>
          <cell r="Q187">
            <v>37.804809414189997</v>
          </cell>
          <cell r="DO187">
            <v>187</v>
          </cell>
        </row>
        <row r="188">
          <cell r="A188" t="str">
            <v>La Crosse, WI-MN Metro Area</v>
          </cell>
          <cell r="B188">
            <v>5150.4752235370725</v>
          </cell>
          <cell r="C188">
            <v>3696.67205178929</v>
          </cell>
          <cell r="D188">
            <v>2399.0446970903104</v>
          </cell>
          <cell r="E188">
            <v>2406.3073629899482</v>
          </cell>
          <cell r="F188">
            <v>589.37482201042565</v>
          </cell>
          <cell r="G188">
            <v>2515.5151999999998</v>
          </cell>
          <cell r="H188">
            <v>195.47239999999999</v>
          </cell>
          <cell r="I188">
            <v>28.056100000000001</v>
          </cell>
          <cell r="J188">
            <v>380.27179999999998</v>
          </cell>
          <cell r="K188">
            <v>116.2328</v>
          </cell>
          <cell r="L188">
            <v>552.70205421282299</v>
          </cell>
          <cell r="P188">
            <v>39.058799999999998</v>
          </cell>
          <cell r="S188">
            <v>137.60656552992313</v>
          </cell>
          <cell r="X188">
            <v>16.206499999999998</v>
          </cell>
          <cell r="DO188">
            <v>188</v>
          </cell>
        </row>
        <row r="189">
          <cell r="A189" t="str">
            <v>Lafayette, IN Metro Area</v>
          </cell>
          <cell r="B189">
            <v>6042.9365608734106</v>
          </cell>
          <cell r="C189">
            <v>9090.4756704966439</v>
          </cell>
          <cell r="D189">
            <v>3385.8347026632609</v>
          </cell>
          <cell r="E189">
            <v>1749.0564825254139</v>
          </cell>
          <cell r="F189">
            <v>627.58355300169819</v>
          </cell>
          <cell r="G189">
            <v>128.34936730434782</v>
          </cell>
          <cell r="H189">
            <v>61.940318746133222</v>
          </cell>
          <cell r="I189">
            <v>99.664500000000004</v>
          </cell>
          <cell r="J189">
            <v>83.277699999999996</v>
          </cell>
          <cell r="L189">
            <v>30.175999999999998</v>
          </cell>
          <cell r="Q189">
            <v>34.117699999999999</v>
          </cell>
          <cell r="R189">
            <v>742.5616</v>
          </cell>
          <cell r="S189">
            <v>24.671600000000002</v>
          </cell>
          <cell r="T189">
            <v>215.6747</v>
          </cell>
          <cell r="U189">
            <v>33.945999999999998</v>
          </cell>
          <cell r="W189">
            <v>138.7355</v>
          </cell>
          <cell r="Z189">
            <v>34.202341085840061</v>
          </cell>
          <cell r="AB189">
            <v>30.264299999999999</v>
          </cell>
          <cell r="AF189">
            <v>16.957999999999998</v>
          </cell>
          <cell r="DO189">
            <v>189</v>
          </cell>
        </row>
        <row r="190">
          <cell r="A190" t="str">
            <v>Lafayette, LA Metro Area</v>
          </cell>
          <cell r="B190">
            <v>3612.4366554248595</v>
          </cell>
          <cell r="C190">
            <v>2758.5340373082117</v>
          </cell>
          <cell r="D190">
            <v>2958.373551568619</v>
          </cell>
          <cell r="E190">
            <v>2294.8998269865065</v>
          </cell>
          <cell r="F190">
            <v>1289.2106426741027</v>
          </cell>
          <cell r="G190">
            <v>1154.7225571829149</v>
          </cell>
          <cell r="H190">
            <v>790.30720287988333</v>
          </cell>
          <cell r="I190">
            <v>317.45983254488652</v>
          </cell>
          <cell r="J190">
            <v>408.87497124394184</v>
          </cell>
          <cell r="K190">
            <v>136.37431003184713</v>
          </cell>
          <cell r="M190">
            <v>191.8316554304914</v>
          </cell>
          <cell r="N190">
            <v>157.59609867392848</v>
          </cell>
          <cell r="O190">
            <v>299.36790000000002</v>
          </cell>
          <cell r="P190">
            <v>82.601500000000001</v>
          </cell>
          <cell r="R190">
            <v>15.8291</v>
          </cell>
          <cell r="BH190">
            <v>8.7348999999999997</v>
          </cell>
          <cell r="DO190">
            <v>190</v>
          </cell>
        </row>
        <row r="191">
          <cell r="A191" t="str">
            <v>Lake Charles, LA Metro Area</v>
          </cell>
          <cell r="B191">
            <v>2271.2519788391778</v>
          </cell>
          <cell r="C191">
            <v>2953.3280371713763</v>
          </cell>
          <cell r="D191">
            <v>3137.1884724644751</v>
          </cell>
          <cell r="E191">
            <v>1622.4106988148631</v>
          </cell>
          <cell r="F191">
            <v>1751.3626391577295</v>
          </cell>
          <cell r="G191">
            <v>1053.5822228035538</v>
          </cell>
          <cell r="H191">
            <v>444.53657695678527</v>
          </cell>
          <cell r="I191">
            <v>2310.1043792067771</v>
          </cell>
          <cell r="J191">
            <v>1010.791468715871</v>
          </cell>
          <cell r="K191">
            <v>703.18630953046886</v>
          </cell>
          <cell r="M191">
            <v>26.275999999999996</v>
          </cell>
          <cell r="N191">
            <v>599.92899999999997</v>
          </cell>
          <cell r="O191">
            <v>25.4025</v>
          </cell>
          <cell r="T191">
            <v>6.9852999999999987</v>
          </cell>
          <cell r="V191">
            <v>175.59510000000003</v>
          </cell>
          <cell r="W191">
            <v>559.79129999999998</v>
          </cell>
          <cell r="Z191">
            <v>8.9329999999999998</v>
          </cell>
          <cell r="AA191">
            <v>22.076499999999999</v>
          </cell>
          <cell r="DO191">
            <v>191</v>
          </cell>
        </row>
        <row r="192">
          <cell r="A192" t="str">
            <v>Lake Havasu City-Kingman, AZ Metro Area</v>
          </cell>
          <cell r="B192">
            <v>2116.2451605449128</v>
          </cell>
          <cell r="C192">
            <v>1018.7103489326519</v>
          </cell>
          <cell r="D192">
            <v>1417.1303588402861</v>
          </cell>
          <cell r="E192">
            <v>220.97364575123152</v>
          </cell>
          <cell r="G192">
            <v>20.069299999999998</v>
          </cell>
          <cell r="AE192">
            <v>123.71710000000002</v>
          </cell>
          <cell r="AK192">
            <v>90.498999999999995</v>
          </cell>
          <cell r="AL192">
            <v>43.539200000000001</v>
          </cell>
          <cell r="AP192">
            <v>569.91970000000003</v>
          </cell>
          <cell r="AQ192">
            <v>261.45920000000001</v>
          </cell>
          <cell r="AR192">
            <v>227.07572954363488</v>
          </cell>
          <cell r="AT192">
            <v>596.92647129819034</v>
          </cell>
          <cell r="AV192">
            <v>3060.7427088246022</v>
          </cell>
          <cell r="AW192">
            <v>2032.2088067541372</v>
          </cell>
          <cell r="AZ192">
            <v>492.58499999999998</v>
          </cell>
          <cell r="BA192">
            <v>323.90780000000001</v>
          </cell>
          <cell r="BB192">
            <v>33.815300000000001</v>
          </cell>
          <cell r="BC192">
            <v>1249.4915943071967</v>
          </cell>
          <cell r="BD192">
            <v>350.37310979929163</v>
          </cell>
          <cell r="BF192">
            <v>2277.8080599999998</v>
          </cell>
          <cell r="BG192">
            <v>3254.8519000000001</v>
          </cell>
          <cell r="BH192">
            <v>22.04104075984991</v>
          </cell>
          <cell r="CB192">
            <v>8.4001999999999999</v>
          </cell>
          <cell r="CF192">
            <v>1.3768</v>
          </cell>
          <cell r="CL192">
            <v>1.9405000000000001</v>
          </cell>
          <cell r="DK192">
            <v>1.2294</v>
          </cell>
          <cell r="DO192">
            <v>192</v>
          </cell>
        </row>
        <row r="193">
          <cell r="A193" t="str">
            <v>Lakeland-Winter Haven, FL Metro Area</v>
          </cell>
          <cell r="B193">
            <v>4822.5875639106152</v>
          </cell>
          <cell r="C193">
            <v>3501.7812010339162</v>
          </cell>
          <cell r="D193">
            <v>2751.8661651929742</v>
          </cell>
          <cell r="E193">
            <v>1990.4036335311573</v>
          </cell>
          <cell r="F193">
            <v>1483.0069688596616</v>
          </cell>
          <cell r="G193">
            <v>1652.6557657447049</v>
          </cell>
          <cell r="H193">
            <v>1218.4690716414486</v>
          </cell>
          <cell r="I193">
            <v>790.64463626457371</v>
          </cell>
          <cell r="J193">
            <v>1041.0787589159106</v>
          </cell>
          <cell r="K193">
            <v>1100.900782483702</v>
          </cell>
          <cell r="L193">
            <v>629.55806932207474</v>
          </cell>
          <cell r="M193">
            <v>2061.1778218387162</v>
          </cell>
          <cell r="N193">
            <v>1801.5031793435069</v>
          </cell>
          <cell r="O193">
            <v>1467.3549243251582</v>
          </cell>
          <cell r="P193">
            <v>2247.1995225580326</v>
          </cell>
          <cell r="Q193">
            <v>1087.3017428525729</v>
          </cell>
          <cell r="R193">
            <v>736.89529919011079</v>
          </cell>
          <cell r="S193">
            <v>1132.7467478809683</v>
          </cell>
          <cell r="T193">
            <v>589.43619999999999</v>
          </cell>
          <cell r="U193">
            <v>253.05309158798281</v>
          </cell>
          <cell r="V193">
            <v>848.03828699944472</v>
          </cell>
          <cell r="W193">
            <v>868.60645097338659</v>
          </cell>
          <cell r="X193">
            <v>2395.2365000000004</v>
          </cell>
          <cell r="Y193">
            <v>525.8566186735917</v>
          </cell>
          <cell r="Z193">
            <v>355.44579251553483</v>
          </cell>
          <cell r="AA193">
            <v>618.64229999999998</v>
          </cell>
          <cell r="AB193">
            <v>553.36521285770277</v>
          </cell>
          <cell r="AC193">
            <v>264.58311840138009</v>
          </cell>
          <cell r="AE193">
            <v>162.18017348107111</v>
          </cell>
          <cell r="AF193">
            <v>60.189399999999999</v>
          </cell>
          <cell r="AG193">
            <v>60.266500000000001</v>
          </cell>
          <cell r="AH193">
            <v>481.60421336774192</v>
          </cell>
          <cell r="AJ193">
            <v>31.913800000000002</v>
          </cell>
          <cell r="AL193">
            <v>73.040700000000001</v>
          </cell>
          <cell r="AP193">
            <v>19.683800000000002</v>
          </cell>
          <cell r="DO193">
            <v>193</v>
          </cell>
        </row>
        <row r="194">
          <cell r="A194" t="str">
            <v>Lancaster, PA Metro Area</v>
          </cell>
          <cell r="B194">
            <v>15448.917225474721</v>
          </cell>
          <cell r="C194">
            <v>3928.5447687868632</v>
          </cell>
          <cell r="D194">
            <v>1882.051354437401</v>
          </cell>
          <cell r="E194">
            <v>1535.6763558800158</v>
          </cell>
          <cell r="F194">
            <v>1148.1857919290346</v>
          </cell>
          <cell r="G194">
            <v>555.05124653387441</v>
          </cell>
          <cell r="H194">
            <v>1778.8551456209996</v>
          </cell>
          <cell r="I194">
            <v>1050.7652283431544</v>
          </cell>
          <cell r="J194">
            <v>1237.2048437654116</v>
          </cell>
          <cell r="K194">
            <v>1601.4597685205918</v>
          </cell>
          <cell r="L194">
            <v>1787.8352990182118</v>
          </cell>
          <cell r="M194">
            <v>2098.7544023331407</v>
          </cell>
          <cell r="N194">
            <v>1316.6534836788028</v>
          </cell>
          <cell r="O194">
            <v>781.38036016699107</v>
          </cell>
          <cell r="Q194">
            <v>307.98971419998315</v>
          </cell>
          <cell r="R194">
            <v>1007.6646905359986</v>
          </cell>
          <cell r="S194">
            <v>1674.2233114750547</v>
          </cell>
          <cell r="T194">
            <v>199.81747146360021</v>
          </cell>
          <cell r="U194">
            <v>148.83549376961003</v>
          </cell>
          <cell r="V194">
            <v>206.79189999999997</v>
          </cell>
          <cell r="DO194">
            <v>194</v>
          </cell>
        </row>
        <row r="195">
          <cell r="A195" t="str">
            <v>Lansing-East Lansing, MI Metro Area</v>
          </cell>
          <cell r="B195">
            <v>4826.0401238945651</v>
          </cell>
          <cell r="C195">
            <v>5403.4737508582857</v>
          </cell>
          <cell r="D195">
            <v>3704.3406633248478</v>
          </cell>
          <cell r="E195">
            <v>10471.377890814729</v>
          </cell>
          <cell r="F195">
            <v>6430.5918583673392</v>
          </cell>
          <cell r="G195">
            <v>1594.2180940424475</v>
          </cell>
          <cell r="H195">
            <v>1563.5459496823876</v>
          </cell>
          <cell r="I195">
            <v>867.60579301163727</v>
          </cell>
          <cell r="J195">
            <v>482.47939688155139</v>
          </cell>
          <cell r="K195">
            <v>2042.9757994442573</v>
          </cell>
          <cell r="L195">
            <v>764.92690000000005</v>
          </cell>
          <cell r="M195">
            <v>360.87804217966254</v>
          </cell>
          <cell r="N195">
            <v>260.5774464441796</v>
          </cell>
          <cell r="O195">
            <v>384.34490523788736</v>
          </cell>
          <cell r="P195">
            <v>62.064570764400429</v>
          </cell>
          <cell r="Q195">
            <v>314.65772732465888</v>
          </cell>
          <cell r="R195">
            <v>522.89868566755501</v>
          </cell>
          <cell r="S195">
            <v>699.19007205274863</v>
          </cell>
          <cell r="T195">
            <v>431.29661036013812</v>
          </cell>
          <cell r="U195">
            <v>611.81109318000176</v>
          </cell>
          <cell r="V195">
            <v>120.306</v>
          </cell>
          <cell r="X195">
            <v>55.82909999999999</v>
          </cell>
          <cell r="Y195">
            <v>59.586349186991875</v>
          </cell>
          <cell r="Z195">
            <v>72.007599999999996</v>
          </cell>
          <cell r="AA195">
            <v>60.871429046048611</v>
          </cell>
          <cell r="AD195">
            <v>67.132400000000004</v>
          </cell>
          <cell r="DO195">
            <v>195</v>
          </cell>
        </row>
        <row r="196">
          <cell r="A196" t="str">
            <v>Laredo, TX Metro Area</v>
          </cell>
          <cell r="B196">
            <v>6873.1278127132391</v>
          </cell>
          <cell r="C196">
            <v>8457.4132980200029</v>
          </cell>
          <cell r="D196">
            <v>8230.3486202609929</v>
          </cell>
          <cell r="E196">
            <v>6310.914368840683</v>
          </cell>
          <cell r="F196">
            <v>4450.2279443835796</v>
          </cell>
          <cell r="G196">
            <v>4097.8788832991413</v>
          </cell>
          <cell r="H196">
            <v>1000.6896127439146</v>
          </cell>
          <cell r="I196">
            <v>109.4585</v>
          </cell>
          <cell r="K196">
            <v>661.54780000000005</v>
          </cell>
          <cell r="N196">
            <v>159.40119999999999</v>
          </cell>
          <cell r="P196">
            <v>0.55649999999999999</v>
          </cell>
          <cell r="W196">
            <v>2.5569000000000002</v>
          </cell>
          <cell r="Z196">
            <v>2.6696</v>
          </cell>
          <cell r="DO196">
            <v>196</v>
          </cell>
        </row>
        <row r="197">
          <cell r="A197" t="str">
            <v>Las Cruces, NM Metro Area</v>
          </cell>
          <cell r="B197">
            <v>3779.3372062450326</v>
          </cell>
          <cell r="C197">
            <v>3984.8779930173137</v>
          </cell>
          <cell r="D197">
            <v>2578.63470981711</v>
          </cell>
          <cell r="E197">
            <v>592.11144875000002</v>
          </cell>
          <cell r="F197">
            <v>390.81624176363539</v>
          </cell>
          <cell r="G197">
            <v>17.591599813107401</v>
          </cell>
          <cell r="I197">
            <v>509.47030000000001</v>
          </cell>
          <cell r="J197">
            <v>15.333599999999999</v>
          </cell>
          <cell r="M197">
            <v>41.564799999999998</v>
          </cell>
          <cell r="N197">
            <v>211.39770785357376</v>
          </cell>
          <cell r="S197">
            <v>1.4514</v>
          </cell>
          <cell r="U197">
            <v>68.625100000000003</v>
          </cell>
          <cell r="V197">
            <v>13.936799999999998</v>
          </cell>
          <cell r="Y197">
            <v>4045.7427192403261</v>
          </cell>
          <cell r="AB197">
            <v>74.996200000000002</v>
          </cell>
          <cell r="AD197">
            <v>158.3596</v>
          </cell>
          <cell r="AH197">
            <v>4.2953000000000001</v>
          </cell>
          <cell r="AJ197">
            <v>13.3598</v>
          </cell>
          <cell r="AL197">
            <v>1621.431324410293</v>
          </cell>
          <cell r="AM197">
            <v>5488.3972999999996</v>
          </cell>
          <cell r="DO197">
            <v>197</v>
          </cell>
        </row>
        <row r="198">
          <cell r="A198" t="str">
            <v>Las Vegas-Paradise, NV Metro Area</v>
          </cell>
          <cell r="B198">
            <v>9196.4317829673673</v>
          </cell>
          <cell r="C198">
            <v>9037.3964363885316</v>
          </cell>
          <cell r="D198">
            <v>8446.8055043716122</v>
          </cell>
          <cell r="E198">
            <v>9683.4743416363672</v>
          </cell>
          <cell r="F198">
            <v>8650.0320820853631</v>
          </cell>
          <cell r="G198">
            <v>7692.127593350745</v>
          </cell>
          <cell r="H198">
            <v>6311.0438003320578</v>
          </cell>
          <cell r="I198">
            <v>5891.258904013961</v>
          </cell>
          <cell r="J198">
            <v>5663.4234101384382</v>
          </cell>
          <cell r="K198">
            <v>5860.5208970723679</v>
          </cell>
          <cell r="L198">
            <v>4165.227926643116</v>
          </cell>
          <cell r="M198">
            <v>3652.2610339043845</v>
          </cell>
          <cell r="N198">
            <v>3109.1818667186872</v>
          </cell>
          <cell r="O198">
            <v>3034.9385893825424</v>
          </cell>
          <cell r="P198">
            <v>4767.5405170706217</v>
          </cell>
          <cell r="Q198">
            <v>1723.4172974184985</v>
          </cell>
          <cell r="R198">
            <v>3048.5275890751363</v>
          </cell>
          <cell r="W198">
            <v>2153.7826598704623</v>
          </cell>
          <cell r="X198">
            <v>1965.3119200672643</v>
          </cell>
          <cell r="AC198">
            <v>1.7826</v>
          </cell>
          <cell r="AP198">
            <v>14.815899999999999</v>
          </cell>
          <cell r="AS198">
            <v>0.69779999999999998</v>
          </cell>
          <cell r="AU198">
            <v>5.0522999999999998</v>
          </cell>
          <cell r="AV198">
            <v>1567.4395999999999</v>
          </cell>
          <cell r="AW198">
            <v>1.9182000000000001</v>
          </cell>
          <cell r="BO198">
            <v>3.9874999999999998</v>
          </cell>
          <cell r="BU198">
            <v>445.89510000000001</v>
          </cell>
          <cell r="BV198">
            <v>1761.7744</v>
          </cell>
          <cell r="BW198">
            <v>3333.4069</v>
          </cell>
          <cell r="BX198">
            <v>181.2825</v>
          </cell>
          <cell r="BY198">
            <v>1389.8704</v>
          </cell>
          <cell r="CA198">
            <v>1935.3625843012574</v>
          </cell>
          <cell r="DO198">
            <v>198</v>
          </cell>
        </row>
        <row r="199">
          <cell r="A199" t="str">
            <v>Lawrence, KS Metro Area</v>
          </cell>
          <cell r="B199">
            <v>6807.621850665394</v>
          </cell>
          <cell r="C199">
            <v>3007.1025464428176</v>
          </cell>
          <cell r="D199">
            <v>3410.202760799215</v>
          </cell>
          <cell r="E199">
            <v>1896.8784012476478</v>
          </cell>
          <cell r="H199">
            <v>51.815023426573433</v>
          </cell>
          <cell r="I199">
            <v>123.8206</v>
          </cell>
          <cell r="K199">
            <v>23.158000000000001</v>
          </cell>
          <cell r="O199">
            <v>71.350700000000003</v>
          </cell>
          <cell r="DO199">
            <v>199</v>
          </cell>
        </row>
        <row r="200">
          <cell r="A200" t="str">
            <v>Lawton, OK Metro Area</v>
          </cell>
          <cell r="B200">
            <v>2929.4880293936276</v>
          </cell>
          <cell r="C200">
            <v>2889.5989591689558</v>
          </cell>
          <cell r="D200">
            <v>3280.7017857480782</v>
          </cell>
          <cell r="E200">
            <v>1507.1084482444735</v>
          </cell>
          <cell r="F200">
            <v>2746.2153987220895</v>
          </cell>
          <cell r="G200">
            <v>2285.7536903622622</v>
          </cell>
          <cell r="J200">
            <v>25.3415</v>
          </cell>
          <cell r="K200">
            <v>13.586</v>
          </cell>
          <cell r="M200">
            <v>17.914400000000001</v>
          </cell>
          <cell r="Q200">
            <v>39.222131867346931</v>
          </cell>
          <cell r="DO200">
            <v>200</v>
          </cell>
        </row>
        <row r="201">
          <cell r="A201" t="str">
            <v>Lebanon, PA Metro Area</v>
          </cell>
          <cell r="B201">
            <v>5213.0100929570426</v>
          </cell>
          <cell r="C201">
            <v>4519.4515775562149</v>
          </cell>
          <cell r="D201">
            <v>781.75769101318758</v>
          </cell>
          <cell r="F201">
            <v>1424.5982813022526</v>
          </cell>
          <cell r="G201">
            <v>148.54179999999999</v>
          </cell>
          <cell r="H201">
            <v>918.08927038438787</v>
          </cell>
          <cell r="I201">
            <v>142.21223820089233</v>
          </cell>
          <cell r="J201">
            <v>377.44107471876055</v>
          </cell>
          <cell r="K201">
            <v>2738.8001034658919</v>
          </cell>
          <cell r="L201">
            <v>202.6318</v>
          </cell>
          <cell r="DO201">
            <v>201</v>
          </cell>
        </row>
        <row r="202">
          <cell r="A202" t="str">
            <v>Lewiston, ID-WA Metro Area</v>
          </cell>
          <cell r="B202">
            <v>1613.9849709943328</v>
          </cell>
          <cell r="C202">
            <v>2710.0259438951412</v>
          </cell>
          <cell r="D202">
            <v>2288.6518316033184</v>
          </cell>
          <cell r="E202">
            <v>807.63364350106121</v>
          </cell>
          <cell r="F202">
            <v>768.48749999999995</v>
          </cell>
          <cell r="I202">
            <v>7.2757000000000005</v>
          </cell>
          <cell r="P202">
            <v>10.7578</v>
          </cell>
          <cell r="Y202">
            <v>6.4512000000000009</v>
          </cell>
          <cell r="DO202">
            <v>202</v>
          </cell>
        </row>
        <row r="203">
          <cell r="A203" t="str">
            <v>Lewiston-Auburn, ME Metro Area</v>
          </cell>
          <cell r="B203">
            <v>7623.402933213617</v>
          </cell>
          <cell r="C203">
            <v>2169.7839168034957</v>
          </cell>
          <cell r="D203">
            <v>507.35974966675326</v>
          </cell>
          <cell r="E203">
            <v>359.57498018831814</v>
          </cell>
          <cell r="I203">
            <v>170.55385598494863</v>
          </cell>
          <cell r="J203">
            <v>114.98350000000001</v>
          </cell>
          <cell r="K203">
            <v>567.3827</v>
          </cell>
          <cell r="L203">
            <v>88.55749999999999</v>
          </cell>
          <cell r="N203">
            <v>83.7727</v>
          </cell>
          <cell r="O203">
            <v>49.7348</v>
          </cell>
          <cell r="W203">
            <v>55.927500000000002</v>
          </cell>
          <cell r="Z203">
            <v>163.40379999999996</v>
          </cell>
          <cell r="DO203">
            <v>203</v>
          </cell>
        </row>
        <row r="204">
          <cell r="A204" t="str">
            <v>Lexington-Fayette, KY Metro Area</v>
          </cell>
          <cell r="B204">
            <v>6613.0051246995017</v>
          </cell>
          <cell r="C204">
            <v>5574.9737305683238</v>
          </cell>
          <cell r="D204">
            <v>4170.063290640127</v>
          </cell>
          <cell r="E204">
            <v>4004.9984145302637</v>
          </cell>
          <cell r="F204">
            <v>4201.5026452551347</v>
          </cell>
          <cell r="G204">
            <v>3950.4508970791112</v>
          </cell>
          <cell r="H204">
            <v>1244.4437646140295</v>
          </cell>
          <cell r="I204">
            <v>43.347730927402438</v>
          </cell>
          <cell r="K204">
            <v>170.06731625610644</v>
          </cell>
          <cell r="L204">
            <v>41.372900000000001</v>
          </cell>
          <cell r="M204">
            <v>1413.9222112755615</v>
          </cell>
          <cell r="N204">
            <v>1446.1515609118485</v>
          </cell>
          <cell r="O204">
            <v>653.45494021156014</v>
          </cell>
          <cell r="P204">
            <v>68.867374446923236</v>
          </cell>
          <cell r="Q204">
            <v>216.53077297242291</v>
          </cell>
          <cell r="R204">
            <v>1825.6715998040497</v>
          </cell>
          <cell r="S204">
            <v>586.69418561887801</v>
          </cell>
          <cell r="T204">
            <v>546.00767965270973</v>
          </cell>
          <cell r="V204">
            <v>49.126965842430614</v>
          </cell>
          <cell r="X204">
            <v>32.800600000000003</v>
          </cell>
          <cell r="Y204">
            <v>26.181100000000001</v>
          </cell>
          <cell r="Z204">
            <v>37.726361701350868</v>
          </cell>
          <cell r="DO204">
            <v>204</v>
          </cell>
        </row>
        <row r="205">
          <cell r="A205" t="str">
            <v>Lima, OH Metro Area</v>
          </cell>
          <cell r="B205">
            <v>4624.1943010074101</v>
          </cell>
          <cell r="C205">
            <v>3461.6707134152884</v>
          </cell>
          <cell r="D205">
            <v>1159.9219767386521</v>
          </cell>
          <cell r="E205">
            <v>286.03759999999994</v>
          </cell>
          <cell r="F205">
            <v>480.60856416321326</v>
          </cell>
          <cell r="G205">
            <v>241.54480000000001</v>
          </cell>
          <cell r="H205">
            <v>59.766800000000003</v>
          </cell>
          <cell r="J205">
            <v>81.921000000000006</v>
          </cell>
          <cell r="K205">
            <v>67.066033769595862</v>
          </cell>
          <cell r="M205">
            <v>88.322299999999998</v>
          </cell>
          <cell r="N205">
            <v>169.62681447368419</v>
          </cell>
          <cell r="Q205">
            <v>529.94330000000002</v>
          </cell>
          <cell r="DO205">
            <v>205</v>
          </cell>
        </row>
        <row r="206">
          <cell r="A206" t="str">
            <v>Lincoln, NE Metro Area</v>
          </cell>
          <cell r="B206">
            <v>10019.606746879681</v>
          </cell>
          <cell r="C206">
            <v>6040.7967145862522</v>
          </cell>
          <cell r="D206">
            <v>4201.034584212488</v>
          </cell>
          <cell r="E206">
            <v>4509.408804234321</v>
          </cell>
          <cell r="F206">
            <v>2889.2451547225546</v>
          </cell>
          <cell r="G206">
            <v>3179.5093027529765</v>
          </cell>
          <cell r="H206">
            <v>654.41297345422129</v>
          </cell>
          <cell r="I206">
            <v>126.25817758449304</v>
          </cell>
          <cell r="K206">
            <v>22.935600000000001</v>
          </cell>
          <cell r="M206">
            <v>26.189400097359137</v>
          </cell>
          <cell r="O206">
            <v>36.134900000000002</v>
          </cell>
          <cell r="V206">
            <v>25.177399999999999</v>
          </cell>
          <cell r="W206">
            <v>573.80970383052806</v>
          </cell>
          <cell r="Z206">
            <v>13.054399999999999</v>
          </cell>
          <cell r="DO206">
            <v>206</v>
          </cell>
        </row>
        <row r="207">
          <cell r="A207" t="str">
            <v>Little Rock-North Little Rock-Conway, AR Metro Area</v>
          </cell>
          <cell r="B207">
            <v>1016.6350438709677</v>
          </cell>
          <cell r="C207">
            <v>3169.8719897870155</v>
          </cell>
          <cell r="D207">
            <v>2827.609083072512</v>
          </cell>
          <cell r="E207">
            <v>3154.2021459252951</v>
          </cell>
          <cell r="F207">
            <v>2393.3094956610221</v>
          </cell>
          <cell r="G207">
            <v>2516.6679154810508</v>
          </cell>
          <cell r="H207">
            <v>2048.2846950488583</v>
          </cell>
          <cell r="I207">
            <v>3218.2434556194607</v>
          </cell>
          <cell r="J207">
            <v>1351.0552521472591</v>
          </cell>
          <cell r="K207">
            <v>1437.9717436162091</v>
          </cell>
          <cell r="L207">
            <v>1011.0800737213707</v>
          </cell>
          <cell r="M207">
            <v>627.89046196150605</v>
          </cell>
          <cell r="N207">
            <v>1592.4026977156243</v>
          </cell>
          <cell r="O207">
            <v>717.83041949541291</v>
          </cell>
          <cell r="P207">
            <v>144.82654179376081</v>
          </cell>
          <cell r="Q207">
            <v>410.11929135488157</v>
          </cell>
          <cell r="R207">
            <v>113.64647139608338</v>
          </cell>
          <cell r="S207">
            <v>197.36791489721205</v>
          </cell>
          <cell r="T207">
            <v>175.26468252028346</v>
          </cell>
          <cell r="U207">
            <v>346.37133890906017</v>
          </cell>
          <cell r="V207">
            <v>811.98729004019651</v>
          </cell>
          <cell r="W207">
            <v>545.20830133495144</v>
          </cell>
          <cell r="X207">
            <v>485.0212638279495</v>
          </cell>
          <cell r="Y207">
            <v>299.2326195769798</v>
          </cell>
          <cell r="Z207">
            <v>945.33031819205519</v>
          </cell>
          <cell r="AA207">
            <v>1892.2754013989561</v>
          </cell>
          <cell r="AB207">
            <v>2415.077811670702</v>
          </cell>
          <cell r="AC207">
            <v>357.21924359049569</v>
          </cell>
          <cell r="AD207">
            <v>65.173238740598734</v>
          </cell>
          <cell r="AE207">
            <v>19.509383098591549</v>
          </cell>
          <cell r="AF207">
            <v>11.106</v>
          </cell>
          <cell r="AG207">
            <v>106.51220000000001</v>
          </cell>
          <cell r="AH207">
            <v>233.31266017052377</v>
          </cell>
          <cell r="AI207">
            <v>24.078241504390988</v>
          </cell>
          <cell r="AJ207">
            <v>92.510999999999996</v>
          </cell>
          <cell r="AK207">
            <v>19.362766737438072</v>
          </cell>
          <cell r="AL207">
            <v>20.637</v>
          </cell>
          <cell r="AO207">
            <v>43.609499999999997</v>
          </cell>
          <cell r="AU207">
            <v>6.7736999999999998</v>
          </cell>
          <cell r="DO207">
            <v>207</v>
          </cell>
        </row>
        <row r="208">
          <cell r="A208" t="str">
            <v>Logan, UT-ID Metro Area</v>
          </cell>
          <cell r="B208">
            <v>5187.7418942689601</v>
          </cell>
          <cell r="C208">
            <v>4728.3168790229429</v>
          </cell>
          <cell r="D208">
            <v>1745.4561205389921</v>
          </cell>
          <cell r="E208">
            <v>351.74180678500448</v>
          </cell>
          <cell r="F208">
            <v>223.0016</v>
          </cell>
          <cell r="G208">
            <v>3.5200000000000002E-2</v>
          </cell>
          <cell r="H208">
            <v>378.69499999999999</v>
          </cell>
          <cell r="I208">
            <v>327.19838571022927</v>
          </cell>
          <cell r="M208">
            <v>34.735599999999998</v>
          </cell>
          <cell r="P208">
            <v>68.997600000000006</v>
          </cell>
          <cell r="R208">
            <v>19.194199999999999</v>
          </cell>
          <cell r="X208">
            <v>32.156999999999996</v>
          </cell>
          <cell r="AC208">
            <v>11.6416</v>
          </cell>
          <cell r="DO208">
            <v>208</v>
          </cell>
        </row>
        <row r="209">
          <cell r="A209" t="str">
            <v>Longview, TX Metro Area</v>
          </cell>
          <cell r="C209">
            <v>2203.1449993595693</v>
          </cell>
          <cell r="D209">
            <v>1766.6246710936741</v>
          </cell>
          <cell r="E209">
            <v>1653.9834237742718</v>
          </cell>
          <cell r="F209">
            <v>1878.5872451068376</v>
          </cell>
          <cell r="G209">
            <v>1084.2119</v>
          </cell>
          <cell r="H209">
            <v>241.01002084252761</v>
          </cell>
          <cell r="I209">
            <v>121.67164041461852</v>
          </cell>
          <cell r="K209">
            <v>484.7552</v>
          </cell>
          <cell r="L209">
            <v>256.60557934039923</v>
          </cell>
          <cell r="M209">
            <v>125.76284594724605</v>
          </cell>
          <cell r="O209">
            <v>265.74180000000001</v>
          </cell>
          <cell r="P209">
            <v>53.183500000000009</v>
          </cell>
          <cell r="T209">
            <v>53.258200000000009</v>
          </cell>
          <cell r="U209">
            <v>100.1079</v>
          </cell>
          <cell r="V209">
            <v>261.27586393009426</v>
          </cell>
          <cell r="W209">
            <v>84.590500000000006</v>
          </cell>
          <cell r="X209">
            <v>479.51010000000002</v>
          </cell>
          <cell r="Z209">
            <v>1018.0133379681887</v>
          </cell>
          <cell r="AA209">
            <v>37.494700000000002</v>
          </cell>
          <cell r="AC209">
            <v>24.004298355754862</v>
          </cell>
          <cell r="AN209">
            <v>15.0473</v>
          </cell>
          <cell r="AQ209">
            <v>20.2195</v>
          </cell>
          <cell r="DO209">
            <v>209</v>
          </cell>
        </row>
        <row r="210">
          <cell r="A210" t="str">
            <v>Longview, WA Metro Area</v>
          </cell>
          <cell r="B210">
            <v>3558.5638377804903</v>
          </cell>
          <cell r="C210">
            <v>4133.2376983847753</v>
          </cell>
          <cell r="D210">
            <v>715.08142016075897</v>
          </cell>
          <cell r="E210">
            <v>1962.117407432962</v>
          </cell>
          <cell r="F210">
            <v>566.09910000000002</v>
          </cell>
          <cell r="G210">
            <v>30.753100000000003</v>
          </cell>
          <cell r="I210">
            <v>40.163600000000002</v>
          </cell>
          <cell r="L210">
            <v>83.734612892072121</v>
          </cell>
          <cell r="M210">
            <v>75.631600000000006</v>
          </cell>
          <cell r="R210">
            <v>3.4487000000000001</v>
          </cell>
          <cell r="S210">
            <v>206.60429999999999</v>
          </cell>
          <cell r="W210">
            <v>14.732500000000002</v>
          </cell>
          <cell r="DO210">
            <v>210</v>
          </cell>
        </row>
        <row r="211">
          <cell r="A211" t="str">
            <v>Los Angeles-Long Beach-Santa Ana, CA Metro Area</v>
          </cell>
          <cell r="B211">
            <v>21357.83176013816</v>
          </cell>
          <cell r="C211">
            <v>32228.200329267922</v>
          </cell>
          <cell r="D211">
            <v>28090.671874937863</v>
          </cell>
          <cell r="E211">
            <v>28866.276997297005</v>
          </cell>
          <cell r="F211">
            <v>20428.648081946729</v>
          </cell>
          <cell r="G211">
            <v>17929.929566993589</v>
          </cell>
          <cell r="H211">
            <v>17532.964627488134</v>
          </cell>
          <cell r="I211">
            <v>15522.615082825947</v>
          </cell>
          <cell r="J211">
            <v>12459.612312676089</v>
          </cell>
          <cell r="K211">
            <v>12359.131090035418</v>
          </cell>
          <cell r="L211">
            <v>11552.124800874077</v>
          </cell>
          <cell r="M211">
            <v>12748.834903279692</v>
          </cell>
          <cell r="N211">
            <v>11689.558907130961</v>
          </cell>
          <cell r="O211">
            <v>11075.095914507181</v>
          </cell>
          <cell r="P211">
            <v>12119.783515558782</v>
          </cell>
          <cell r="Q211">
            <v>9363.6686776069037</v>
          </cell>
          <cell r="R211">
            <v>10298.637208575301</v>
          </cell>
          <cell r="S211">
            <v>13592.460037868759</v>
          </cell>
          <cell r="T211">
            <v>12093.504693047766</v>
          </cell>
          <cell r="U211">
            <v>14049.541020522933</v>
          </cell>
          <cell r="V211">
            <v>9571.248867940978</v>
          </cell>
          <cell r="W211">
            <v>8131.83956194643</v>
          </cell>
          <cell r="X211">
            <v>9279.0038957670058</v>
          </cell>
          <cell r="Y211">
            <v>7992.3681434410682</v>
          </cell>
          <cell r="Z211">
            <v>9121.902074803098</v>
          </cell>
          <cell r="AA211">
            <v>7311.4158575624288</v>
          </cell>
          <cell r="AB211">
            <v>8561.8563187894633</v>
          </cell>
          <cell r="AC211">
            <v>7895.0473183953654</v>
          </cell>
          <cell r="AD211">
            <v>7777.7280017340081</v>
          </cell>
          <cell r="AE211">
            <v>12102.435343709547</v>
          </cell>
          <cell r="AF211">
            <v>10929.047849093296</v>
          </cell>
          <cell r="AG211">
            <v>10034.135380570149</v>
          </cell>
          <cell r="AH211">
            <v>7459.9241800836216</v>
          </cell>
          <cell r="AI211">
            <v>9642.7980753134252</v>
          </cell>
          <cell r="AJ211">
            <v>5999.2053466155839</v>
          </cell>
          <cell r="AK211">
            <v>5670.2622129903266</v>
          </cell>
          <cell r="AL211">
            <v>6403.9171355769531</v>
          </cell>
          <cell r="AM211">
            <v>4630.330319547882</v>
          </cell>
          <cell r="AN211">
            <v>2550.8566368573797</v>
          </cell>
          <cell r="AO211">
            <v>1076.1729412014238</v>
          </cell>
          <cell r="AP211">
            <v>1375.9240589591416</v>
          </cell>
          <cell r="AQ211">
            <v>1642.6893168663503</v>
          </cell>
          <cell r="AR211">
            <v>4016.3910971012501</v>
          </cell>
          <cell r="AS211">
            <v>5800.2184922356973</v>
          </cell>
          <cell r="AT211">
            <v>5666.2682668500547</v>
          </cell>
          <cell r="AU211">
            <v>4569.1145795913444</v>
          </cell>
          <cell r="AV211">
            <v>6221.8304640611741</v>
          </cell>
          <cell r="AW211">
            <v>4922.2707001575745</v>
          </cell>
          <cell r="AX211">
            <v>3659.1429112313767</v>
          </cell>
          <cell r="AY211">
            <v>2806.4277502553628</v>
          </cell>
          <cell r="AZ211">
            <v>4356.1592865570437</v>
          </cell>
          <cell r="BA211">
            <v>5799.5251218114836</v>
          </cell>
          <cell r="BB211">
            <v>2982.4107783243016</v>
          </cell>
          <cell r="BC211">
            <v>3281.2051096335549</v>
          </cell>
          <cell r="BD211">
            <v>981.87639574838374</v>
          </cell>
          <cell r="BF211">
            <v>7749.6453760727891</v>
          </cell>
          <cell r="BG211">
            <v>5732.5951000000005</v>
          </cell>
          <cell r="BH211">
            <v>2562.0843</v>
          </cell>
          <cell r="DO211">
            <v>211</v>
          </cell>
        </row>
        <row r="212">
          <cell r="A212" t="str">
            <v>Louisville/Jefferson County, KY-IN Metro Area</v>
          </cell>
          <cell r="B212">
            <v>6003.9019585606056</v>
          </cell>
          <cell r="C212">
            <v>6844.3093950528428</v>
          </cell>
          <cell r="D212">
            <v>4947.1651995378779</v>
          </cell>
          <cell r="E212">
            <v>5212.7115662759124</v>
          </cell>
          <cell r="F212">
            <v>4288.654603383512</v>
          </cell>
          <cell r="G212">
            <v>3518.0138233906437</v>
          </cell>
          <cell r="H212">
            <v>3335.1335837058177</v>
          </cell>
          <cell r="I212">
            <v>3586.6440321520058</v>
          </cell>
          <cell r="J212">
            <v>2665.2261016881148</v>
          </cell>
          <cell r="K212">
            <v>2267.9222650747533</v>
          </cell>
          <cell r="L212">
            <v>2613.5937614564209</v>
          </cell>
          <cell r="M212">
            <v>2215.8567449109814</v>
          </cell>
          <cell r="N212">
            <v>1695.4069994370645</v>
          </cell>
          <cell r="O212">
            <v>1949.9808074507237</v>
          </cell>
          <cell r="P212">
            <v>477.95651094858806</v>
          </cell>
          <cell r="Q212">
            <v>456.55211183216051</v>
          </cell>
          <cell r="R212">
            <v>100.89255330892978</v>
          </cell>
          <cell r="S212">
            <v>575.16518871555138</v>
          </cell>
          <cell r="T212">
            <v>754.62928678342325</v>
          </cell>
          <cell r="U212">
            <v>157.82864829026187</v>
          </cell>
          <cell r="V212">
            <v>291.30247203273046</v>
          </cell>
          <cell r="W212">
            <v>171.51979464589428</v>
          </cell>
          <cell r="X212">
            <v>94.935392235804571</v>
          </cell>
          <cell r="Y212">
            <v>466.71629999999999</v>
          </cell>
          <cell r="Z212">
            <v>87.63383222010728</v>
          </cell>
          <cell r="AA212">
            <v>1040.4192418756106</v>
          </cell>
          <cell r="AB212">
            <v>55.812452135428195</v>
          </cell>
          <cell r="AC212">
            <v>1774.3356148773842</v>
          </cell>
          <cell r="AD212">
            <v>995.15128897661532</v>
          </cell>
          <cell r="AE212">
            <v>526.03020018033658</v>
          </cell>
          <cell r="AF212">
            <v>487.8346624933518</v>
          </cell>
          <cell r="AG212">
            <v>99.051500000000004</v>
          </cell>
          <cell r="AH212">
            <v>121.30158842842953</v>
          </cell>
          <cell r="AJ212">
            <v>389.05548903984987</v>
          </cell>
          <cell r="AK212">
            <v>37.020798009950248</v>
          </cell>
          <cell r="AL212">
            <v>36.643108435027493</v>
          </cell>
          <cell r="AM212">
            <v>60.121088859345917</v>
          </cell>
          <cell r="AO212">
            <v>31.5365</v>
          </cell>
          <cell r="AR212">
            <v>51.686700000000002</v>
          </cell>
          <cell r="DO212">
            <v>212</v>
          </cell>
        </row>
        <row r="213">
          <cell r="A213" t="str">
            <v>Lubbock, TX Metro Area</v>
          </cell>
          <cell r="B213">
            <v>5993.2069870590076</v>
          </cell>
          <cell r="C213">
            <v>4743.0140150811021</v>
          </cell>
          <cell r="D213">
            <v>2940.634195964607</v>
          </cell>
          <cell r="E213">
            <v>3871.769512519707</v>
          </cell>
          <cell r="F213">
            <v>3721.6709418173168</v>
          </cell>
          <cell r="G213">
            <v>3728.3591440517844</v>
          </cell>
          <cell r="H213">
            <v>2003.5137199124154</v>
          </cell>
          <cell r="I213">
            <v>355.67180000000002</v>
          </cell>
          <cell r="J213">
            <v>144.70522471859522</v>
          </cell>
          <cell r="K213">
            <v>60.838435251798565</v>
          </cell>
          <cell r="L213">
            <v>285.48363306836245</v>
          </cell>
          <cell r="M213">
            <v>709.15539099909995</v>
          </cell>
          <cell r="Q213">
            <v>1633.9645</v>
          </cell>
          <cell r="U213">
            <v>9.0792000000000002</v>
          </cell>
          <cell r="AC213">
            <v>9.6450999999999993</v>
          </cell>
          <cell r="AL213">
            <v>5.9814999999999996</v>
          </cell>
          <cell r="DO213">
            <v>213</v>
          </cell>
        </row>
        <row r="214">
          <cell r="A214" t="str">
            <v>Lynchburg, VA Metro Area</v>
          </cell>
          <cell r="B214">
            <v>4045.7502082278488</v>
          </cell>
          <cell r="C214">
            <v>1599.0540501440742</v>
          </cell>
          <cell r="D214">
            <v>2678.4503521045131</v>
          </cell>
          <cell r="E214">
            <v>1538.4791889517674</v>
          </cell>
          <cell r="F214">
            <v>515.33877530685425</v>
          </cell>
          <cell r="G214">
            <v>1123.2441252587673</v>
          </cell>
          <cell r="H214">
            <v>327.34913856981609</v>
          </cell>
          <cell r="I214">
            <v>732.96256405709346</v>
          </cell>
          <cell r="J214">
            <v>734.98019999999997</v>
          </cell>
          <cell r="K214">
            <v>1348.8821</v>
          </cell>
          <cell r="M214">
            <v>112.50984708568264</v>
          </cell>
          <cell r="O214">
            <v>30.268000000000001</v>
          </cell>
          <cell r="Q214">
            <v>18.9971</v>
          </cell>
          <cell r="R214">
            <v>93.312600000000003</v>
          </cell>
          <cell r="S214">
            <v>28.227699999999999</v>
          </cell>
          <cell r="T214">
            <v>39.807165773353752</v>
          </cell>
          <cell r="U214">
            <v>58.5929</v>
          </cell>
          <cell r="W214">
            <v>843.01713411191236</v>
          </cell>
          <cell r="X214">
            <v>38.217783419465974</v>
          </cell>
          <cell r="Y214">
            <v>86.796099999999996</v>
          </cell>
          <cell r="Z214">
            <v>42.445900000000002</v>
          </cell>
          <cell r="AD214">
            <v>39.681800000000003</v>
          </cell>
          <cell r="AG214">
            <v>63.993899999999996</v>
          </cell>
          <cell r="AH214">
            <v>66.743899999999996</v>
          </cell>
          <cell r="AI214">
            <v>94.378836755691779</v>
          </cell>
          <cell r="AJ214">
            <v>148.50899999999999</v>
          </cell>
          <cell r="AK214">
            <v>139.48929999999999</v>
          </cell>
          <cell r="AN214">
            <v>213.70840000000001</v>
          </cell>
          <cell r="DO214">
            <v>214</v>
          </cell>
        </row>
        <row r="215">
          <cell r="A215" t="str">
            <v>Macon, GA Metro Area</v>
          </cell>
          <cell r="B215">
            <v>2463.4727129572498</v>
          </cell>
          <cell r="C215">
            <v>2907.1918603160584</v>
          </cell>
          <cell r="D215">
            <v>2681.4749093640653</v>
          </cell>
          <cell r="E215">
            <v>1875.9981174657678</v>
          </cell>
          <cell r="F215">
            <v>1585.8472517880796</v>
          </cell>
          <cell r="G215">
            <v>984.48135353671557</v>
          </cell>
          <cell r="H215">
            <v>728.797615509004</v>
          </cell>
          <cell r="I215">
            <v>735.14314336834912</v>
          </cell>
          <cell r="J215">
            <v>465.71763930978824</v>
          </cell>
          <cell r="K215">
            <v>159.10676117279667</v>
          </cell>
          <cell r="N215">
            <v>119.90008187895849</v>
          </cell>
          <cell r="O215">
            <v>42.506504315263911</v>
          </cell>
          <cell r="Q215">
            <v>65.137600000000006</v>
          </cell>
          <cell r="R215">
            <v>16.2134</v>
          </cell>
          <cell r="S215">
            <v>27.3733</v>
          </cell>
          <cell r="U215">
            <v>24.8187</v>
          </cell>
          <cell r="X215">
            <v>37.810229439452293</v>
          </cell>
          <cell r="Y215">
            <v>126.4385</v>
          </cell>
          <cell r="Z215">
            <v>24.328900000000001</v>
          </cell>
          <cell r="AE215">
            <v>90.023300000000006</v>
          </cell>
          <cell r="DO215">
            <v>215</v>
          </cell>
        </row>
        <row r="216">
          <cell r="A216" t="str">
            <v>Madera-Chowchilla, CA Metro Area</v>
          </cell>
          <cell r="B216">
            <v>6253.2132768240335</v>
          </cell>
          <cell r="C216">
            <v>3975.1469964700318</v>
          </cell>
          <cell r="D216">
            <v>87.775800000000004</v>
          </cell>
          <cell r="E216">
            <v>210.07015982451901</v>
          </cell>
          <cell r="F216">
            <v>144.5059</v>
          </cell>
          <cell r="H216">
            <v>44.494300000000003</v>
          </cell>
          <cell r="L216">
            <v>188.26512390607527</v>
          </cell>
          <cell r="P216">
            <v>26.208299999999998</v>
          </cell>
          <cell r="Q216">
            <v>1994.5454</v>
          </cell>
          <cell r="T216">
            <v>6.4198000000000013</v>
          </cell>
          <cell r="X216">
            <v>133.13489909282356</v>
          </cell>
          <cell r="AD216">
            <v>49.959899999999998</v>
          </cell>
          <cell r="AJ216">
            <v>136.07813525163621</v>
          </cell>
          <cell r="AK216">
            <v>19.885300000000001</v>
          </cell>
          <cell r="DO216">
            <v>216</v>
          </cell>
        </row>
        <row r="217">
          <cell r="A217" t="str">
            <v>Madison, WI Metro Area</v>
          </cell>
          <cell r="B217">
            <v>30809.684686342589</v>
          </cell>
          <cell r="C217">
            <v>9008.823247584407</v>
          </cell>
          <cell r="D217">
            <v>4845.4197976751284</v>
          </cell>
          <cell r="E217">
            <v>3662.0742053199665</v>
          </cell>
          <cell r="F217">
            <v>3055.8187898824326</v>
          </cell>
          <cell r="G217">
            <v>1912.1249376384201</v>
          </cell>
          <cell r="H217">
            <v>3222.119028534426</v>
          </cell>
          <cell r="I217">
            <v>1254.0700582027953</v>
          </cell>
          <cell r="J217">
            <v>725.89164971183493</v>
          </cell>
          <cell r="K217">
            <v>636.62766316815828</v>
          </cell>
          <cell r="L217">
            <v>526.66187335859161</v>
          </cell>
          <cell r="M217">
            <v>2054.9209010353616</v>
          </cell>
          <cell r="N217">
            <v>1380.6382713111709</v>
          </cell>
          <cell r="O217">
            <v>475.83800840752639</v>
          </cell>
          <cell r="R217">
            <v>58.399280109344645</v>
          </cell>
          <cell r="S217">
            <v>76.124600000000001</v>
          </cell>
          <cell r="T217">
            <v>234.1618349115451</v>
          </cell>
          <cell r="U217">
            <v>108.23139999999998</v>
          </cell>
          <cell r="V217">
            <v>74.925511999259868</v>
          </cell>
          <cell r="Y217">
            <v>100.2586</v>
          </cell>
          <cell r="Z217">
            <v>36.686799999999998</v>
          </cell>
          <cell r="AA217">
            <v>291.68790000000001</v>
          </cell>
          <cell r="AB217">
            <v>31.390499999999996</v>
          </cell>
          <cell r="AE217">
            <v>26.061599999999999</v>
          </cell>
          <cell r="AF217">
            <v>31.228931648522554</v>
          </cell>
          <cell r="AH217">
            <v>74.108400000000003</v>
          </cell>
          <cell r="AI217">
            <v>562.85915512180804</v>
          </cell>
          <cell r="AL217">
            <v>27.982600000000001</v>
          </cell>
          <cell r="AN217">
            <v>181.27250000000001</v>
          </cell>
          <cell r="AQ217">
            <v>53.768799999999999</v>
          </cell>
          <cell r="AR217">
            <v>57.590200000000003</v>
          </cell>
          <cell r="AX217">
            <v>21.038064408829754</v>
          </cell>
          <cell r="DO217">
            <v>217</v>
          </cell>
        </row>
        <row r="218">
          <cell r="A218" t="str">
            <v>Manchester-Nashua, NH Metro Area</v>
          </cell>
          <cell r="B218">
            <v>12317.14259762933</v>
          </cell>
          <cell r="C218">
            <v>5514.6586847778544</v>
          </cell>
          <cell r="D218">
            <v>2296.0514251757095</v>
          </cell>
          <cell r="E218">
            <v>866.0240996474098</v>
          </cell>
          <cell r="F218">
            <v>847.07658472506898</v>
          </cell>
          <cell r="G218">
            <v>356.36779999999999</v>
          </cell>
          <cell r="H218">
            <v>506.2758</v>
          </cell>
          <cell r="I218">
            <v>926.93539776247837</v>
          </cell>
          <cell r="J218">
            <v>710.90566537921995</v>
          </cell>
          <cell r="L218">
            <v>350.16916472945894</v>
          </cell>
          <cell r="M218">
            <v>503.59427159338952</v>
          </cell>
          <cell r="N218">
            <v>307.85902909930712</v>
          </cell>
          <cell r="O218">
            <v>710.53809999999999</v>
          </cell>
          <cell r="P218">
            <v>1274.3271949451662</v>
          </cell>
          <cell r="Q218">
            <v>4499.5068949145361</v>
          </cell>
          <cell r="R218">
            <v>4829.7113923705729</v>
          </cell>
          <cell r="S218">
            <v>933.1115555566937</v>
          </cell>
          <cell r="T218">
            <v>1839.6871567762419</v>
          </cell>
          <cell r="U218">
            <v>3945.2114290837426</v>
          </cell>
          <cell r="V218">
            <v>198.61556234797541</v>
          </cell>
          <cell r="X218">
            <v>49.685899999999997</v>
          </cell>
          <cell r="Y218">
            <v>321.21069999999997</v>
          </cell>
          <cell r="Z218">
            <v>98.854600000000005</v>
          </cell>
          <cell r="AA218">
            <v>111.19624838596737</v>
          </cell>
          <cell r="AB218">
            <v>58.054500000000004</v>
          </cell>
          <cell r="DO218">
            <v>218</v>
          </cell>
        </row>
        <row r="219">
          <cell r="A219" t="str">
            <v>Manhattan, KS Metro Area</v>
          </cell>
          <cell r="B219">
            <v>5610.7050398233278</v>
          </cell>
          <cell r="C219">
            <v>4297.0358675639445</v>
          </cell>
          <cell r="D219">
            <v>667.70709908935225</v>
          </cell>
          <cell r="E219">
            <v>817.11069999999995</v>
          </cell>
          <cell r="F219">
            <v>44.174100000000003</v>
          </cell>
          <cell r="I219">
            <v>30.912199999999999</v>
          </cell>
          <cell r="O219">
            <v>300.34847368082887</v>
          </cell>
          <cell r="P219">
            <v>151.1523454805681</v>
          </cell>
          <cell r="Q219">
            <v>9.0117999999999991</v>
          </cell>
          <cell r="R219">
            <v>894.14620000000002</v>
          </cell>
          <cell r="S219">
            <v>1994.5437743499065</v>
          </cell>
          <cell r="T219">
            <v>1558.456801187074</v>
          </cell>
          <cell r="W219">
            <v>7.6837999999999997</v>
          </cell>
          <cell r="AB219">
            <v>27.712499999999999</v>
          </cell>
          <cell r="DO219">
            <v>219</v>
          </cell>
        </row>
        <row r="220">
          <cell r="A220" t="str">
            <v>Mankato-North Mankato, MN Metro Area</v>
          </cell>
          <cell r="B220">
            <v>5351.6054060664255</v>
          </cell>
          <cell r="C220">
            <v>3044.5252847635511</v>
          </cell>
          <cell r="D220">
            <v>1267.4177276705536</v>
          </cell>
          <cell r="H220">
            <v>27.291854403988516</v>
          </cell>
          <cell r="I220">
            <v>92.003600000000006</v>
          </cell>
          <cell r="L220">
            <v>662.99429358201326</v>
          </cell>
          <cell r="M220">
            <v>72.502399999999994</v>
          </cell>
          <cell r="N220">
            <v>1105.0539000000001</v>
          </cell>
          <cell r="R220">
            <v>18.652958197842274</v>
          </cell>
          <cell r="Y220">
            <v>18.133800000000001</v>
          </cell>
          <cell r="DO220">
            <v>220</v>
          </cell>
        </row>
        <row r="221">
          <cell r="A221" t="str">
            <v>Mansfield, OH Metro Area</v>
          </cell>
          <cell r="B221">
            <v>4846.5638901627508</v>
          </cell>
          <cell r="C221">
            <v>2437.7097892091615</v>
          </cell>
          <cell r="D221">
            <v>989.97554396828173</v>
          </cell>
          <cell r="E221">
            <v>1086.3088890585241</v>
          </cell>
          <cell r="F221">
            <v>383.1255683146901</v>
          </cell>
          <cell r="H221">
            <v>182.56776019068985</v>
          </cell>
          <cell r="J221">
            <v>121.1035</v>
          </cell>
          <cell r="L221">
            <v>90.896881067163363</v>
          </cell>
          <cell r="M221">
            <v>1067.1600509398691</v>
          </cell>
          <cell r="N221">
            <v>76.988399999999999</v>
          </cell>
          <cell r="Q221">
            <v>76.161000000000001</v>
          </cell>
          <cell r="DO221">
            <v>221</v>
          </cell>
        </row>
        <row r="222">
          <cell r="A222" t="str">
            <v>McAllen-Edinburg-Mission, TX Metro Area</v>
          </cell>
          <cell r="B222">
            <v>4688.8589861877881</v>
          </cell>
          <cell r="C222">
            <v>3421.1046400209534</v>
          </cell>
          <cell r="D222">
            <v>4068.1308639290123</v>
          </cell>
          <cell r="E222">
            <v>2882.6403179010836</v>
          </cell>
          <cell r="F222">
            <v>3058.6358432617576</v>
          </cell>
          <cell r="G222">
            <v>1723.695288089182</v>
          </cell>
          <cell r="H222">
            <v>1811.2920159726402</v>
          </cell>
          <cell r="I222">
            <v>1910.1264442430049</v>
          </cell>
          <cell r="J222">
            <v>1769.9496466265548</v>
          </cell>
          <cell r="K222">
            <v>1121.7278261031713</v>
          </cell>
          <cell r="L222">
            <v>746.724681920796</v>
          </cell>
          <cell r="M222">
            <v>1939.8012126517906</v>
          </cell>
          <cell r="N222">
            <v>769.04839067860701</v>
          </cell>
          <cell r="O222">
            <v>712.61164652278183</v>
          </cell>
          <cell r="P222">
            <v>1638.8467011287237</v>
          </cell>
          <cell r="Q222">
            <v>1619.0920202318721</v>
          </cell>
          <cell r="R222">
            <v>1419.0333183287205</v>
          </cell>
          <cell r="S222">
            <v>346.35947776327953</v>
          </cell>
          <cell r="T222">
            <v>99.421000000000006</v>
          </cell>
          <cell r="U222">
            <v>461.47628581368934</v>
          </cell>
          <cell r="V222">
            <v>706.97596808910612</v>
          </cell>
          <cell r="W222">
            <v>23.546399999999998</v>
          </cell>
          <cell r="Z222">
            <v>2.8262999999999994</v>
          </cell>
          <cell r="DO222">
            <v>222</v>
          </cell>
        </row>
        <row r="223">
          <cell r="A223" t="str">
            <v>Medford, OR Metro Area</v>
          </cell>
          <cell r="B223">
            <v>6493.273058439665</v>
          </cell>
          <cell r="C223">
            <v>2779.3208364685761</v>
          </cell>
          <cell r="D223">
            <v>2658.5070298667142</v>
          </cell>
          <cell r="E223">
            <v>2386.1058574226222</v>
          </cell>
          <cell r="F223">
            <v>921.22476977425993</v>
          </cell>
          <cell r="G223">
            <v>185.83840000000001</v>
          </cell>
          <cell r="H223">
            <v>178.08340000000001</v>
          </cell>
          <cell r="I223">
            <v>737.05648608926128</v>
          </cell>
          <cell r="J223">
            <v>61.483910049972238</v>
          </cell>
          <cell r="L223">
            <v>41.955199999999998</v>
          </cell>
          <cell r="M223">
            <v>388.15606423200859</v>
          </cell>
          <cell r="N223">
            <v>1181.7966761894345</v>
          </cell>
          <cell r="O223">
            <v>2784.7229750511242</v>
          </cell>
          <cell r="R223">
            <v>4.3792</v>
          </cell>
          <cell r="T223">
            <v>29.591000000000001</v>
          </cell>
          <cell r="U223">
            <v>25.038200000000003</v>
          </cell>
          <cell r="Z223">
            <v>3.3946999999999994</v>
          </cell>
          <cell r="DO223">
            <v>223</v>
          </cell>
        </row>
        <row r="224">
          <cell r="A224" t="str">
            <v>Memphis, TN-MS-AR Metro Area</v>
          </cell>
          <cell r="B224">
            <v>3620.353775035986</v>
          </cell>
          <cell r="C224">
            <v>5038.9306670799806</v>
          </cell>
          <cell r="D224">
            <v>5359.0960721281353</v>
          </cell>
          <cell r="E224">
            <v>4360.5618069775956</v>
          </cell>
          <cell r="F224">
            <v>3007.0113335708479</v>
          </cell>
          <cell r="G224">
            <v>4029.1706997599567</v>
          </cell>
          <cell r="H224">
            <v>4389.6337438911496</v>
          </cell>
          <cell r="I224">
            <v>3412.8707536631214</v>
          </cell>
          <cell r="J224">
            <v>2552.5766037806466</v>
          </cell>
          <cell r="K224">
            <v>3051.1125168879685</v>
          </cell>
          <cell r="L224">
            <v>3761.720129015544</v>
          </cell>
          <cell r="M224">
            <v>2619.4986345907314</v>
          </cell>
          <cell r="N224">
            <v>3269.8609677656254</v>
          </cell>
          <cell r="O224">
            <v>3328.5136614480607</v>
          </cell>
          <cell r="P224">
            <v>2753.5958682972514</v>
          </cell>
          <cell r="Q224">
            <v>2200.3799220276151</v>
          </cell>
          <cell r="R224">
            <v>1859.0180829175315</v>
          </cell>
          <cell r="S224">
            <v>968.0883133495629</v>
          </cell>
          <cell r="T224">
            <v>335.68687708301712</v>
          </cell>
          <cell r="U224">
            <v>1393.2217046905639</v>
          </cell>
          <cell r="V224">
            <v>695.06210900174585</v>
          </cell>
          <cell r="W224">
            <v>99.436159534698731</v>
          </cell>
          <cell r="X224">
            <v>1551.4780153686811</v>
          </cell>
          <cell r="Y224">
            <v>985.85241840696585</v>
          </cell>
          <cell r="Z224">
            <v>97.974131981351974</v>
          </cell>
          <cell r="AA224">
            <v>184.27167577424024</v>
          </cell>
          <cell r="AB224">
            <v>54.502800000000001</v>
          </cell>
          <cell r="AC224">
            <v>101.0466247301881</v>
          </cell>
          <cell r="AD224">
            <v>69.877363346962625</v>
          </cell>
          <cell r="AE224">
            <v>167.07731384399156</v>
          </cell>
          <cell r="AG224">
            <v>55.713605556792871</v>
          </cell>
          <cell r="AI224">
            <v>41.463900909315853</v>
          </cell>
          <cell r="AJ224">
            <v>42.488900000000001</v>
          </cell>
          <cell r="AK224">
            <v>65.621344341120434</v>
          </cell>
          <cell r="AL224">
            <v>632.45161860727046</v>
          </cell>
          <cell r="AM224">
            <v>54.199875804210755</v>
          </cell>
          <cell r="AO224">
            <v>23.342400000000001</v>
          </cell>
          <cell r="AQ224">
            <v>43.364800000000002</v>
          </cell>
          <cell r="AR224">
            <v>508.48509999999999</v>
          </cell>
          <cell r="AS224">
            <v>278.89264972383131</v>
          </cell>
          <cell r="AX224">
            <v>20.052100000000003</v>
          </cell>
          <cell r="DO224">
            <v>224</v>
          </cell>
        </row>
        <row r="225">
          <cell r="A225" t="str">
            <v>Merced, CA Metro Area</v>
          </cell>
          <cell r="B225">
            <v>5664.5915319642736</v>
          </cell>
          <cell r="C225">
            <v>4957.3371847394919</v>
          </cell>
          <cell r="D225">
            <v>1434.3846637877443</v>
          </cell>
          <cell r="E225">
            <v>606.37094120776794</v>
          </cell>
          <cell r="H225">
            <v>1153.5457445649554</v>
          </cell>
          <cell r="I225">
            <v>4722.2549791689244</v>
          </cell>
          <cell r="J225">
            <v>2007.7911052588668</v>
          </cell>
          <cell r="K225">
            <v>875.35329117757237</v>
          </cell>
          <cell r="O225">
            <v>182.17048320349386</v>
          </cell>
          <cell r="P225">
            <v>2675.7201</v>
          </cell>
          <cell r="S225">
            <v>109.32834357709629</v>
          </cell>
          <cell r="T225">
            <v>3661.8060999999998</v>
          </cell>
          <cell r="V225">
            <v>20.772200000000002</v>
          </cell>
          <cell r="W225">
            <v>150.10494724619153</v>
          </cell>
          <cell r="Y225">
            <v>638.9162</v>
          </cell>
          <cell r="Z225">
            <v>586.3768</v>
          </cell>
          <cell r="AA225">
            <v>1532.4806000000001</v>
          </cell>
          <cell r="AB225">
            <v>3088.3179000000005</v>
          </cell>
          <cell r="AC225">
            <v>1520.8749</v>
          </cell>
          <cell r="AD225">
            <v>31.363800000000001</v>
          </cell>
          <cell r="AE225">
            <v>7.1433999999999997</v>
          </cell>
          <cell r="DO225">
            <v>225</v>
          </cell>
        </row>
        <row r="226">
          <cell r="A226" t="str">
            <v>Miami-Fort Lauderdale-Pompano Beach, FL Metro Area</v>
          </cell>
          <cell r="B226">
            <v>8808.7968925739606</v>
          </cell>
          <cell r="C226">
            <v>9169.7824486504032</v>
          </cell>
          <cell r="D226">
            <v>14579.521394077885</v>
          </cell>
          <cell r="E226">
            <v>14980.75614900602</v>
          </cell>
          <cell r="F226">
            <v>10524.892460730613</v>
          </cell>
          <cell r="G226">
            <v>9650.0675532172354</v>
          </cell>
          <cell r="H226">
            <v>11060.921132399924</v>
          </cell>
          <cell r="I226">
            <v>10850.782656899755</v>
          </cell>
          <cell r="J226">
            <v>8515.2735259434303</v>
          </cell>
          <cell r="K226">
            <v>10094.427028639089</v>
          </cell>
          <cell r="L226">
            <v>9041.2767285897862</v>
          </cell>
          <cell r="M226">
            <v>11882.822141025685</v>
          </cell>
          <cell r="N226">
            <v>10918.880952277046</v>
          </cell>
          <cell r="O226">
            <v>8410.0702413734543</v>
          </cell>
          <cell r="P226">
            <v>6849.016276113688</v>
          </cell>
          <cell r="Q226">
            <v>9839.774443927643</v>
          </cell>
          <cell r="R226">
            <v>6335.1784224338062</v>
          </cell>
          <cell r="S226">
            <v>7449.0713769869062</v>
          </cell>
          <cell r="T226">
            <v>6864.1816872416075</v>
          </cell>
          <cell r="U226">
            <v>7183.6218044839479</v>
          </cell>
          <cell r="V226">
            <v>5714.8950318364468</v>
          </cell>
          <cell r="W226">
            <v>4758.0774969843669</v>
          </cell>
          <cell r="X226">
            <v>4049.595591182815</v>
          </cell>
          <cell r="Y226">
            <v>2820.6108294564438</v>
          </cell>
          <cell r="Z226">
            <v>3203.8202794708191</v>
          </cell>
          <cell r="AA226">
            <v>3610.0032940511633</v>
          </cell>
          <cell r="AB226">
            <v>3983.8107268714011</v>
          </cell>
          <cell r="AC226">
            <v>5165.7841409580878</v>
          </cell>
          <cell r="AD226">
            <v>6153.398462343459</v>
          </cell>
          <cell r="AE226">
            <v>8652.1384527150731</v>
          </cell>
          <cell r="AF226">
            <v>7187.769803514976</v>
          </cell>
          <cell r="AG226">
            <v>6897.2532456504287</v>
          </cell>
          <cell r="AH226">
            <v>6486.6976629683531</v>
          </cell>
          <cell r="AI226">
            <v>6376.953415123965</v>
          </cell>
          <cell r="AJ226">
            <v>6112.6563710608216</v>
          </cell>
          <cell r="AK226">
            <v>4872.0179473891976</v>
          </cell>
          <cell r="AL226">
            <v>6196.8964144676638</v>
          </cell>
          <cell r="AM226">
            <v>6562.6803609956596</v>
          </cell>
          <cell r="AN226">
            <v>5558.5524516915966</v>
          </cell>
          <cell r="AO226">
            <v>4222.4338070707818</v>
          </cell>
          <cell r="AP226">
            <v>4615.0003262178379</v>
          </cell>
          <cell r="AQ226">
            <v>5472.5416710050813</v>
          </cell>
          <cell r="AR226">
            <v>4172.8681920499066</v>
          </cell>
          <cell r="AS226">
            <v>3748.222577313406</v>
          </cell>
          <cell r="AT226">
            <v>3697.4270626168577</v>
          </cell>
          <cell r="AU226">
            <v>3872.1556168528587</v>
          </cell>
          <cell r="AV226">
            <v>2953.1410443604668</v>
          </cell>
          <cell r="AW226">
            <v>2609.279931480753</v>
          </cell>
          <cell r="AX226">
            <v>4304.2851657244964</v>
          </cell>
          <cell r="AY226">
            <v>4924.0537485505311</v>
          </cell>
          <cell r="AZ226">
            <v>4576.8497240390243</v>
          </cell>
          <cell r="BA226">
            <v>3903.6143604872555</v>
          </cell>
          <cell r="BB226">
            <v>3578.5425369750769</v>
          </cell>
          <cell r="BC226">
            <v>1723.7268807720861</v>
          </cell>
          <cell r="BD226">
            <v>2998.0670585529251</v>
          </cell>
          <cell r="BE226">
            <v>4678.8370444994498</v>
          </cell>
          <cell r="BF226">
            <v>3838.4132370341208</v>
          </cell>
          <cell r="BG226">
            <v>4325.1232008997185</v>
          </cell>
          <cell r="BH226">
            <v>5381.4756140963609</v>
          </cell>
          <cell r="BI226">
            <v>3729.6898292505216</v>
          </cell>
          <cell r="BJ226">
            <v>4371.5587673563032</v>
          </cell>
          <cell r="BK226">
            <v>5296.5309200398588</v>
          </cell>
          <cell r="BL226">
            <v>5759.8493133147995</v>
          </cell>
          <cell r="BM226">
            <v>5741.5505065380148</v>
          </cell>
          <cell r="BN226">
            <v>4733.183891392825</v>
          </cell>
          <cell r="BO226">
            <v>3264.6951023010461</v>
          </cell>
          <cell r="BP226">
            <v>3191.9988406565371</v>
          </cell>
          <cell r="BQ226">
            <v>3469.0759265710399</v>
          </cell>
          <cell r="BR226">
            <v>4124.1323619998411</v>
          </cell>
          <cell r="BS226">
            <v>2702.5664441073036</v>
          </cell>
          <cell r="BT226">
            <v>2620.18178745348</v>
          </cell>
          <cell r="BU226">
            <v>4812.6841621987705</v>
          </cell>
          <cell r="BV226">
            <v>3003.08635043505</v>
          </cell>
          <cell r="BW226">
            <v>2053.7310727104368</v>
          </cell>
          <cell r="BX226">
            <v>3520.9704394551882</v>
          </cell>
          <cell r="BY226">
            <v>4265.7366305677097</v>
          </cell>
          <cell r="BZ226">
            <v>3174.2686246839439</v>
          </cell>
          <cell r="CA226">
            <v>5625.3516830754361</v>
          </cell>
          <cell r="CB226">
            <v>1586.1413904517133</v>
          </cell>
          <cell r="CC226">
            <v>1312.4929445091345</v>
          </cell>
          <cell r="CD226">
            <v>104.3022</v>
          </cell>
          <cell r="CE226">
            <v>2412.7682854841751</v>
          </cell>
          <cell r="CF226">
            <v>1331.8978922274844</v>
          </cell>
          <cell r="CG226">
            <v>2640.4464700770259</v>
          </cell>
          <cell r="CH226">
            <v>2744.6519986666672</v>
          </cell>
          <cell r="CI226">
            <v>2915.574625671858</v>
          </cell>
          <cell r="DO226">
            <v>226</v>
          </cell>
        </row>
        <row r="227">
          <cell r="A227" t="str">
            <v>Michigan City-La Porte, IN Metro Area</v>
          </cell>
          <cell r="B227">
            <v>2830.2088134544169</v>
          </cell>
          <cell r="C227">
            <v>3552.5848289898581</v>
          </cell>
          <cell r="D227">
            <v>2069.1833307664501</v>
          </cell>
          <cell r="E227">
            <v>434.70441803278686</v>
          </cell>
          <cell r="F227">
            <v>1006.179</v>
          </cell>
          <cell r="H227">
            <v>191.08224927412468</v>
          </cell>
          <cell r="L227">
            <v>619.72320000000002</v>
          </cell>
          <cell r="M227">
            <v>143.22059643835615</v>
          </cell>
          <cell r="N227">
            <v>1334.1032495499321</v>
          </cell>
          <cell r="Q227">
            <v>135.40610000000001</v>
          </cell>
          <cell r="S227">
            <v>55.734834930751319</v>
          </cell>
          <cell r="T227">
            <v>60.152099999999997</v>
          </cell>
          <cell r="Y227">
            <v>32.594900000000003</v>
          </cell>
          <cell r="DO227">
            <v>227</v>
          </cell>
        </row>
        <row r="228">
          <cell r="A228" t="str">
            <v>Midland, TX Metro Area</v>
          </cell>
          <cell r="B228">
            <v>2614.8788</v>
          </cell>
          <cell r="C228">
            <v>2414.1585990027584</v>
          </cell>
          <cell r="D228">
            <v>2894.4668444194926</v>
          </cell>
          <cell r="E228">
            <v>3440.5468786828114</v>
          </cell>
          <cell r="F228">
            <v>3409.8862124525331</v>
          </cell>
          <cell r="G228">
            <v>835.66583911614327</v>
          </cell>
          <cell r="H228">
            <v>18.024000000000001</v>
          </cell>
          <cell r="J228">
            <v>2.3519999999999999</v>
          </cell>
          <cell r="L228">
            <v>62.606300000000005</v>
          </cell>
          <cell r="DO228">
            <v>228</v>
          </cell>
        </row>
        <row r="229">
          <cell r="A229" t="str">
            <v>Milwaukee-Waukesha-West Allis, WI Metro Area</v>
          </cell>
          <cell r="B229">
            <v>13634.564019181835</v>
          </cell>
          <cell r="C229">
            <v>14867.744895101076</v>
          </cell>
          <cell r="D229">
            <v>14743.131422535465</v>
          </cell>
          <cell r="E229">
            <v>10790.265442949349</v>
          </cell>
          <cell r="F229">
            <v>7671.5541893837935</v>
          </cell>
          <cell r="G229">
            <v>6214.0519090449634</v>
          </cell>
          <cell r="H229">
            <v>6091.7689534491237</v>
          </cell>
          <cell r="I229">
            <v>3958.3708758173416</v>
          </cell>
          <cell r="J229">
            <v>3056.4450067089442</v>
          </cell>
          <cell r="K229">
            <v>2635.3545360767439</v>
          </cell>
          <cell r="L229">
            <v>2263.6972037171299</v>
          </cell>
          <cell r="M229">
            <v>1445.9329476979435</v>
          </cell>
          <cell r="N229">
            <v>1125.9918079248398</v>
          </cell>
          <cell r="O229">
            <v>1328.3295652821737</v>
          </cell>
          <cell r="P229">
            <v>1429.3069477913248</v>
          </cell>
          <cell r="Q229">
            <v>3400.1296654133798</v>
          </cell>
          <cell r="R229">
            <v>2007.7991939727935</v>
          </cell>
          <cell r="S229">
            <v>2641.0791556389518</v>
          </cell>
          <cell r="T229">
            <v>1734.269156754008</v>
          </cell>
          <cell r="U229">
            <v>786.11977968883798</v>
          </cell>
          <cell r="V229">
            <v>446.92476092782027</v>
          </cell>
          <cell r="W229">
            <v>1435.6806025280168</v>
          </cell>
          <cell r="X229">
            <v>447.87946769625501</v>
          </cell>
          <cell r="Y229">
            <v>518.92992660219397</v>
          </cell>
          <cell r="Z229">
            <v>1043.7710589189189</v>
          </cell>
          <cell r="AA229">
            <v>418.2752516711393</v>
          </cell>
          <cell r="AB229">
            <v>200.68414830739303</v>
          </cell>
          <cell r="AC229">
            <v>712.0194451305714</v>
          </cell>
          <cell r="AD229">
            <v>1175.1759918786286</v>
          </cell>
          <cell r="AE229">
            <v>1240.2247077069455</v>
          </cell>
          <cell r="AF229">
            <v>1395.0568494066206</v>
          </cell>
          <cell r="AG229">
            <v>653.13098816144134</v>
          </cell>
          <cell r="AH229">
            <v>90.693299999999994</v>
          </cell>
          <cell r="AK229">
            <v>70.958399999999997</v>
          </cell>
          <cell r="AL229">
            <v>180.23509999999999</v>
          </cell>
          <cell r="DO229">
            <v>229</v>
          </cell>
        </row>
        <row r="230">
          <cell r="A230" t="str">
            <v>Minneapolis-St. Paul-Bloomington, MN-WI Metro Area</v>
          </cell>
          <cell r="B230">
            <v>13938.219443840564</v>
          </cell>
          <cell r="C230">
            <v>12613.787771269039</v>
          </cell>
          <cell r="D230">
            <v>10087.42418735852</v>
          </cell>
          <cell r="E230">
            <v>6158.6899028831085</v>
          </cell>
          <cell r="F230">
            <v>5723.7525381293462</v>
          </cell>
          <cell r="G230">
            <v>5290.6623976044521</v>
          </cell>
          <cell r="H230">
            <v>5058.683494416342</v>
          </cell>
          <cell r="I230">
            <v>4808.5107687550062</v>
          </cell>
          <cell r="J230">
            <v>4030.136225944108</v>
          </cell>
          <cell r="K230">
            <v>4217.6012897750261</v>
          </cell>
          <cell r="L230">
            <v>3473.8221610240844</v>
          </cell>
          <cell r="M230">
            <v>3489.7505583149054</v>
          </cell>
          <cell r="N230">
            <v>2686.736028691646</v>
          </cell>
          <cell r="O230">
            <v>2704.8707092068753</v>
          </cell>
          <cell r="P230">
            <v>2452.5259521458688</v>
          </cell>
          <cell r="Q230">
            <v>2414.2408320575219</v>
          </cell>
          <cell r="R230">
            <v>2112.0735965482204</v>
          </cell>
          <cell r="S230">
            <v>2257.3823107682315</v>
          </cell>
          <cell r="T230">
            <v>1480.4856852965204</v>
          </cell>
          <cell r="U230">
            <v>1722.8273631132161</v>
          </cell>
          <cell r="V230">
            <v>1152.0836375443398</v>
          </cell>
          <cell r="W230">
            <v>775.42272664545931</v>
          </cell>
          <cell r="X230">
            <v>702.30846512757489</v>
          </cell>
          <cell r="Y230">
            <v>1482.6562989806052</v>
          </cell>
          <cell r="Z230">
            <v>899.56321726570491</v>
          </cell>
          <cell r="AA230">
            <v>1016.0537950272802</v>
          </cell>
          <cell r="AB230">
            <v>458.40959967563327</v>
          </cell>
          <cell r="AC230">
            <v>231.2611194164304</v>
          </cell>
          <cell r="AD230">
            <v>353.76921216010379</v>
          </cell>
          <cell r="AE230">
            <v>175.37410765167806</v>
          </cell>
          <cell r="AF230">
            <v>43.963500000000003</v>
          </cell>
          <cell r="AG230">
            <v>55.329116086956525</v>
          </cell>
          <cell r="AH230">
            <v>1040.3369357732897</v>
          </cell>
          <cell r="AI230">
            <v>208.67382696427896</v>
          </cell>
          <cell r="AJ230">
            <v>64.022340864912096</v>
          </cell>
          <cell r="AK230">
            <v>257.17956489273928</v>
          </cell>
          <cell r="AL230">
            <v>95.346100000000007</v>
          </cell>
          <cell r="AM230">
            <v>111.14228549039434</v>
          </cell>
          <cell r="AN230">
            <v>247.39060000000001</v>
          </cell>
          <cell r="AO230">
            <v>79.429630784854211</v>
          </cell>
          <cell r="AP230">
            <v>209.02664024993132</v>
          </cell>
          <cell r="AQ230">
            <v>92.050887581905215</v>
          </cell>
          <cell r="AR230">
            <v>95.663300000000007</v>
          </cell>
          <cell r="AT230">
            <v>76.417900000000003</v>
          </cell>
          <cell r="AU230">
            <v>100.23151696439648</v>
          </cell>
          <cell r="AV230">
            <v>37.768420901089065</v>
          </cell>
          <cell r="AW230">
            <v>45.898200000000003</v>
          </cell>
          <cell r="AX230">
            <v>56.796999999999997</v>
          </cell>
          <cell r="AY230">
            <v>69.426699999999997</v>
          </cell>
          <cell r="AZ230">
            <v>59.646999999999998</v>
          </cell>
          <cell r="BB230">
            <v>29.182600000000001</v>
          </cell>
          <cell r="BC230">
            <v>31.30219457895538</v>
          </cell>
          <cell r="BG230">
            <v>886.58720000000005</v>
          </cell>
          <cell r="DO230">
            <v>230</v>
          </cell>
        </row>
        <row r="231">
          <cell r="A231" t="str">
            <v>Missoula, MT Metro Area</v>
          </cell>
          <cell r="B231">
            <v>4000.7068612924427</v>
          </cell>
          <cell r="C231">
            <v>3389.1779263702565</v>
          </cell>
          <cell r="D231">
            <v>2457.6566287671235</v>
          </cell>
          <cell r="E231">
            <v>1581.4239501058362</v>
          </cell>
          <cell r="F231">
            <v>581.15597175430844</v>
          </cell>
          <cell r="H231">
            <v>13.3367</v>
          </cell>
          <cell r="K231">
            <v>60.576700000000002</v>
          </cell>
          <cell r="M231">
            <v>5.3467000000000002</v>
          </cell>
          <cell r="P231">
            <v>18.385300000000001</v>
          </cell>
          <cell r="Z231">
            <v>3.8026000000000004</v>
          </cell>
          <cell r="DO231">
            <v>231</v>
          </cell>
        </row>
        <row r="232">
          <cell r="A232" t="str">
            <v>Mobile, AL Metro Area</v>
          </cell>
          <cell r="B232">
            <v>3245.0594063694271</v>
          </cell>
          <cell r="C232">
            <v>4292.4263684549815</v>
          </cell>
          <cell r="D232">
            <v>4242.4769893159746</v>
          </cell>
          <cell r="E232">
            <v>3950.2851428082308</v>
          </cell>
          <cell r="F232">
            <v>3403.9773575722993</v>
          </cell>
          <cell r="G232">
            <v>2276.8689042150804</v>
          </cell>
          <cell r="H232">
            <v>1984.5120916283722</v>
          </cell>
          <cell r="I232">
            <v>1913.708790896874</v>
          </cell>
          <cell r="J232">
            <v>2220.2399945069487</v>
          </cell>
          <cell r="K232">
            <v>2280.5096153065324</v>
          </cell>
          <cell r="L232">
            <v>1341.5455345068237</v>
          </cell>
          <cell r="M232">
            <v>967.93940901498695</v>
          </cell>
          <cell r="N232">
            <v>695.94769284832068</v>
          </cell>
          <cell r="O232">
            <v>503.92347475686091</v>
          </cell>
          <cell r="P232">
            <v>366.55270000000002</v>
          </cell>
          <cell r="Q232">
            <v>222.70569698324024</v>
          </cell>
          <cell r="R232">
            <v>254.28643159636064</v>
          </cell>
          <cell r="S232">
            <v>79.883611396543671</v>
          </cell>
          <cell r="T232">
            <v>140.7072</v>
          </cell>
          <cell r="U232">
            <v>216.17562013852685</v>
          </cell>
          <cell r="V232">
            <v>54.168399999999998</v>
          </cell>
          <cell r="X232">
            <v>144.23560000000001</v>
          </cell>
          <cell r="Y232">
            <v>91.245520217139244</v>
          </cell>
          <cell r="AA232">
            <v>96.118300000000019</v>
          </cell>
          <cell r="AC232">
            <v>50.608800000000002</v>
          </cell>
          <cell r="AF232">
            <v>79.328100000000006</v>
          </cell>
          <cell r="DO232">
            <v>232</v>
          </cell>
        </row>
        <row r="233">
          <cell r="A233" t="str">
            <v>Modesto, CA Metro Area</v>
          </cell>
          <cell r="B233">
            <v>5289.456724778378</v>
          </cell>
          <cell r="C233">
            <v>5389.23025015441</v>
          </cell>
          <cell r="D233">
            <v>6106.0268385393565</v>
          </cell>
          <cell r="E233">
            <v>6338.9297814816455</v>
          </cell>
          <cell r="F233">
            <v>4701.4641690789094</v>
          </cell>
          <cell r="G233">
            <v>266.9352099409781</v>
          </cell>
          <cell r="H233">
            <v>1887.4688048340524</v>
          </cell>
          <cell r="I233">
            <v>3437.4348664926501</v>
          </cell>
          <cell r="L233">
            <v>858.55205426113071</v>
          </cell>
          <cell r="M233">
            <v>2899.6753194714979</v>
          </cell>
          <cell r="N233">
            <v>4658.229525769746</v>
          </cell>
          <cell r="O233">
            <v>2059.8628688612102</v>
          </cell>
          <cell r="P233">
            <v>1410.5148483602725</v>
          </cell>
          <cell r="T233">
            <v>4.4668999999999999</v>
          </cell>
          <cell r="X233">
            <v>1141.6773999999998</v>
          </cell>
          <cell r="DO233">
            <v>233</v>
          </cell>
        </row>
        <row r="234">
          <cell r="A234" t="str">
            <v>Monroe, LA Metro Area</v>
          </cell>
          <cell r="B234">
            <v>1851.7284249677252</v>
          </cell>
          <cell r="C234">
            <v>2223.8598097880445</v>
          </cell>
          <cell r="D234">
            <v>2775.0197764311174</v>
          </cell>
          <cell r="E234">
            <v>729.78909799019277</v>
          </cell>
          <cell r="F234">
            <v>1690.5276164311229</v>
          </cell>
          <cell r="G234">
            <v>1022.6799550667326</v>
          </cell>
          <cell r="H234">
            <v>844.35640000000001</v>
          </cell>
          <cell r="I234">
            <v>200.13529910523096</v>
          </cell>
          <cell r="J234">
            <v>127.98938847984458</v>
          </cell>
          <cell r="K234">
            <v>163.73079999999999</v>
          </cell>
          <cell r="L234">
            <v>65.504016287716297</v>
          </cell>
          <cell r="O234">
            <v>77.75200000000001</v>
          </cell>
          <cell r="Q234">
            <v>53.214099999999995</v>
          </cell>
          <cell r="T234">
            <v>28.921186948176583</v>
          </cell>
          <cell r="AA234">
            <v>481.7174</v>
          </cell>
          <cell r="AD234">
            <v>12.299300000000001</v>
          </cell>
          <cell r="AI234">
            <v>30.674099999999999</v>
          </cell>
          <cell r="AQ234">
            <v>23.553999999999998</v>
          </cell>
          <cell r="DO234">
            <v>234</v>
          </cell>
        </row>
        <row r="235">
          <cell r="A235" t="str">
            <v>Monroe, MI Metro Area</v>
          </cell>
          <cell r="B235">
            <v>3873.2149537676364</v>
          </cell>
          <cell r="C235">
            <v>2138.0387954491753</v>
          </cell>
          <cell r="D235">
            <v>609.24436562623464</v>
          </cell>
          <cell r="E235">
            <v>782.41748208568742</v>
          </cell>
          <cell r="G235">
            <v>345.86598999035988</v>
          </cell>
          <cell r="H235">
            <v>101.22615112936346</v>
          </cell>
          <cell r="J235">
            <v>241.69513784615384</v>
          </cell>
          <cell r="K235">
            <v>229.33491169888097</v>
          </cell>
          <cell r="L235">
            <v>153.68819999999999</v>
          </cell>
          <cell r="M235">
            <v>172.99768831233629</v>
          </cell>
          <cell r="N235">
            <v>244.1060134742404</v>
          </cell>
          <cell r="O235">
            <v>116.41068737605288</v>
          </cell>
          <cell r="P235">
            <v>960.09843752759389</v>
          </cell>
          <cell r="Q235">
            <v>791.88065912821969</v>
          </cell>
          <cell r="R235">
            <v>1409.9419</v>
          </cell>
          <cell r="T235">
            <v>104.45189099236642</v>
          </cell>
          <cell r="DO235">
            <v>235</v>
          </cell>
        </row>
        <row r="236">
          <cell r="A236" t="str">
            <v>Montgomery, AL Metro Area</v>
          </cell>
          <cell r="B236">
            <v>2530.1413211941904</v>
          </cell>
          <cell r="C236">
            <v>3949.4927011673149</v>
          </cell>
          <cell r="D236">
            <v>2819.0276869442691</v>
          </cell>
          <cell r="E236">
            <v>2237.746758220786</v>
          </cell>
          <cell r="F236">
            <v>2665.3966519155365</v>
          </cell>
          <cell r="G236">
            <v>3095.7342735917864</v>
          </cell>
          <cell r="H236">
            <v>1794.1368162208589</v>
          </cell>
          <cell r="I236">
            <v>376.07031159420285</v>
          </cell>
          <cell r="J236">
            <v>707.35949288495578</v>
          </cell>
          <cell r="K236">
            <v>858.49414033149174</v>
          </cell>
          <cell r="L236">
            <v>1385.6486043904085</v>
          </cell>
          <cell r="M236">
            <v>659.7952154173239</v>
          </cell>
          <cell r="N236">
            <v>276.79768242069002</v>
          </cell>
          <cell r="O236">
            <v>69.926494783247605</v>
          </cell>
          <cell r="P236">
            <v>79.936113624554991</v>
          </cell>
          <cell r="Q236">
            <v>108.2478</v>
          </cell>
          <cell r="R236">
            <v>123.14273873941036</v>
          </cell>
          <cell r="S236">
            <v>25.5715</v>
          </cell>
          <cell r="W236">
            <v>41.155700000000003</v>
          </cell>
          <cell r="X236">
            <v>39.846699999999998</v>
          </cell>
          <cell r="Y236">
            <v>48.708653631447348</v>
          </cell>
          <cell r="AA236">
            <v>15.779866968744219</v>
          </cell>
          <cell r="AE236">
            <v>25.145765791647541</v>
          </cell>
          <cell r="DO236">
            <v>236</v>
          </cell>
        </row>
        <row r="237">
          <cell r="A237" t="str">
            <v>Morgantown, WV Metro Area</v>
          </cell>
          <cell r="B237">
            <v>9459.6958064681894</v>
          </cell>
          <cell r="C237">
            <v>2349.5189624414288</v>
          </cell>
          <cell r="D237">
            <v>1913.1693573520622</v>
          </cell>
          <cell r="E237">
            <v>370.82695356054836</v>
          </cell>
          <cell r="F237">
            <v>265.23904189910979</v>
          </cell>
          <cell r="G237">
            <v>98.670100000000005</v>
          </cell>
          <cell r="H237">
            <v>102.56817910250354</v>
          </cell>
          <cell r="I237">
            <v>79.571100000000001</v>
          </cell>
          <cell r="M237">
            <v>75.334199999999996</v>
          </cell>
          <cell r="P237">
            <v>99.227599999999995</v>
          </cell>
          <cell r="Q237">
            <v>49.145800000000001</v>
          </cell>
          <cell r="R237">
            <v>49.906999999999996</v>
          </cell>
          <cell r="S237">
            <v>214.26509999999999</v>
          </cell>
          <cell r="U237">
            <v>29.006799999999998</v>
          </cell>
          <cell r="X237">
            <v>33.737056476683932</v>
          </cell>
          <cell r="AD237">
            <v>27.705400000000001</v>
          </cell>
          <cell r="DO237">
            <v>237</v>
          </cell>
        </row>
        <row r="238">
          <cell r="A238" t="str">
            <v>Morristown, TN Metro Area</v>
          </cell>
          <cell r="B238">
            <v>1792.2078134005112</v>
          </cell>
          <cell r="C238">
            <v>1725.1786</v>
          </cell>
          <cell r="D238">
            <v>244.30948795235915</v>
          </cell>
          <cell r="E238">
            <v>666.42786272429089</v>
          </cell>
          <cell r="F238">
            <v>587.56299999999999</v>
          </cell>
          <cell r="G238">
            <v>466.21359999999999</v>
          </cell>
          <cell r="H238">
            <v>175.11250000000001</v>
          </cell>
          <cell r="I238">
            <v>208.65221754615973</v>
          </cell>
          <cell r="J238">
            <v>154.45043558797082</v>
          </cell>
          <cell r="K238">
            <v>95.449200000000005</v>
          </cell>
          <cell r="M238">
            <v>76.469499999999996</v>
          </cell>
          <cell r="N238">
            <v>554.51829999999995</v>
          </cell>
          <cell r="O238">
            <v>236.79220000000001</v>
          </cell>
          <cell r="P238">
            <v>205.07240000000002</v>
          </cell>
          <cell r="R238">
            <v>75.542339918809205</v>
          </cell>
          <cell r="S238">
            <v>81.652900000000002</v>
          </cell>
          <cell r="T238">
            <v>131.09039999999999</v>
          </cell>
          <cell r="V238">
            <v>66.9863</v>
          </cell>
          <cell r="X238">
            <v>143.01230000000001</v>
          </cell>
          <cell r="DO238">
            <v>238</v>
          </cell>
        </row>
        <row r="239">
          <cell r="A239" t="str">
            <v>Mount Vernon-Anacortes, WA Metro Area</v>
          </cell>
          <cell r="B239">
            <v>2969.4928202396372</v>
          </cell>
          <cell r="C239">
            <v>1244.1944100763262</v>
          </cell>
          <cell r="D239">
            <v>4719.5316000000003</v>
          </cell>
          <cell r="E239">
            <v>1790.9765964402254</v>
          </cell>
          <cell r="F239">
            <v>95.132699999999986</v>
          </cell>
          <cell r="G239">
            <v>163.06148200407014</v>
          </cell>
          <cell r="H239">
            <v>39.841285143151921</v>
          </cell>
          <cell r="I239">
            <v>1020.2</v>
          </cell>
          <cell r="J239">
            <v>695.77074824358237</v>
          </cell>
          <cell r="M239">
            <v>68.853887951418741</v>
          </cell>
          <cell r="N239">
            <v>228.83670000000001</v>
          </cell>
          <cell r="O239">
            <v>4345.8999999999996</v>
          </cell>
          <cell r="P239">
            <v>1741.4898026414155</v>
          </cell>
          <cell r="Q239">
            <v>1300.9453000000001</v>
          </cell>
          <cell r="R239">
            <v>685.55607168481743</v>
          </cell>
          <cell r="AF239">
            <v>5.0072999999999999</v>
          </cell>
          <cell r="DO239">
            <v>239</v>
          </cell>
        </row>
        <row r="240">
          <cell r="A240" t="str">
            <v>Muncie, IN Metro Area</v>
          </cell>
          <cell r="B240">
            <v>4918.8640419564699</v>
          </cell>
          <cell r="C240">
            <v>3722.6514329791271</v>
          </cell>
          <cell r="D240">
            <v>2456.6751648992513</v>
          </cell>
          <cell r="E240">
            <v>1768.9141999999997</v>
          </cell>
          <cell r="F240">
            <v>326.14469047325525</v>
          </cell>
          <cell r="G240">
            <v>184.54731803601948</v>
          </cell>
          <cell r="I240">
            <v>71.898600000000002</v>
          </cell>
          <cell r="J240">
            <v>117.14319999999999</v>
          </cell>
          <cell r="K240">
            <v>87.204099999999997</v>
          </cell>
          <cell r="L240">
            <v>102.36879999999998</v>
          </cell>
          <cell r="DO240">
            <v>240</v>
          </cell>
        </row>
        <row r="241">
          <cell r="A241" t="str">
            <v>Muskegon-Norton Shores, MI Metro Area</v>
          </cell>
          <cell r="B241">
            <v>4513.7720082415335</v>
          </cell>
          <cell r="C241">
            <v>3732.9020235480698</v>
          </cell>
          <cell r="D241">
            <v>3434.8036592389481</v>
          </cell>
          <cell r="E241">
            <v>1699.7709387211555</v>
          </cell>
          <cell r="F241">
            <v>794.1265036558583</v>
          </cell>
          <cell r="G241">
            <v>597.116711551359</v>
          </cell>
          <cell r="H241">
            <v>366.72703754818815</v>
          </cell>
          <cell r="I241">
            <v>238.4401</v>
          </cell>
          <cell r="J241">
            <v>206.25547470555861</v>
          </cell>
          <cell r="K241">
            <v>189.85380000000001</v>
          </cell>
          <cell r="M241">
            <v>242.58208067180104</v>
          </cell>
          <cell r="N241">
            <v>88.515199999999993</v>
          </cell>
          <cell r="O241">
            <v>182.18375915875168</v>
          </cell>
          <cell r="R241">
            <v>85.442700000000002</v>
          </cell>
          <cell r="T241">
            <v>59.933900000000001</v>
          </cell>
          <cell r="DO241">
            <v>241</v>
          </cell>
        </row>
        <row r="242">
          <cell r="A242" t="str">
            <v>Myrtle Beach-North Myrtle Beach-Conway, SC Metro Area</v>
          </cell>
          <cell r="B242">
            <v>1940.8489132248806</v>
          </cell>
          <cell r="C242">
            <v>1295.7148</v>
          </cell>
          <cell r="D242">
            <v>1157.4534710137207</v>
          </cell>
          <cell r="E242">
            <v>1004.9763336956522</v>
          </cell>
          <cell r="F242">
            <v>1304.4709222566739</v>
          </cell>
          <cell r="G242">
            <v>1368.7788244055203</v>
          </cell>
          <cell r="H242">
            <v>822.18178656716407</v>
          </cell>
          <cell r="I242">
            <v>1581.5885299186709</v>
          </cell>
          <cell r="J242">
            <v>882.3605587626264</v>
          </cell>
          <cell r="K242">
            <v>1858.9157810916813</v>
          </cell>
          <cell r="L242">
            <v>968.06001601376738</v>
          </cell>
          <cell r="M242">
            <v>571.2734706670775</v>
          </cell>
          <cell r="N242">
            <v>85.338633326657316</v>
          </cell>
          <cell r="O242">
            <v>753.78533207677685</v>
          </cell>
          <cell r="P242">
            <v>927.69534969495294</v>
          </cell>
          <cell r="Q242">
            <v>640.56344412678686</v>
          </cell>
          <cell r="R242">
            <v>205.29214874182463</v>
          </cell>
          <cell r="S242">
            <v>204.03039224735707</v>
          </cell>
          <cell r="T242">
            <v>447.63498628376345</v>
          </cell>
          <cell r="U242">
            <v>133.85241750227894</v>
          </cell>
          <cell r="V242">
            <v>268.38470000000001</v>
          </cell>
          <cell r="W242">
            <v>50.811</v>
          </cell>
          <cell r="X242">
            <v>65.103700000000003</v>
          </cell>
          <cell r="Z242">
            <v>117.17802695632896</v>
          </cell>
          <cell r="AB242">
            <v>49.268299999999996</v>
          </cell>
          <cell r="AC242">
            <v>97.936300000000003</v>
          </cell>
          <cell r="AE242">
            <v>43.778500000000001</v>
          </cell>
          <cell r="AJ242">
            <v>24.025299999999998</v>
          </cell>
          <cell r="DO242">
            <v>242</v>
          </cell>
        </row>
        <row r="243">
          <cell r="A243" t="str">
            <v>Napa, CA Metro Area</v>
          </cell>
          <cell r="B243">
            <v>8323.0745305552155</v>
          </cell>
          <cell r="C243">
            <v>4906.8935256656605</v>
          </cell>
          <cell r="D243">
            <v>3918.2099984182887</v>
          </cell>
          <cell r="E243">
            <v>2096.9111520309843</v>
          </cell>
          <cell r="F243">
            <v>197.2355</v>
          </cell>
          <cell r="G243">
            <v>84.591700000000017</v>
          </cell>
          <cell r="J243">
            <v>2414.2264589952151</v>
          </cell>
          <cell r="K243">
            <v>3803.5498154560942</v>
          </cell>
          <cell r="Q243">
            <v>42.477200000000003</v>
          </cell>
          <cell r="R243">
            <v>967.98649999999998</v>
          </cell>
          <cell r="S243">
            <v>1423.7992999999999</v>
          </cell>
          <cell r="T243">
            <v>6.5739000000000001</v>
          </cell>
          <cell r="V243">
            <v>82.020399999999995</v>
          </cell>
          <cell r="AA243">
            <v>1982.7693000000002</v>
          </cell>
          <cell r="AB243">
            <v>20.162299999999998</v>
          </cell>
          <cell r="DO243">
            <v>243</v>
          </cell>
        </row>
        <row r="244">
          <cell r="A244" t="str">
            <v>Naples-Marco Island, FL Metro Area</v>
          </cell>
          <cell r="B244">
            <v>2934.2027175496169</v>
          </cell>
          <cell r="C244">
            <v>3205.2193464950237</v>
          </cell>
          <cell r="D244">
            <v>2601.8881577586944</v>
          </cell>
          <cell r="E244">
            <v>2868.1217793939127</v>
          </cell>
          <cell r="F244">
            <v>3513.4918989401581</v>
          </cell>
          <cell r="G244">
            <v>2247.5940083283353</v>
          </cell>
          <cell r="H244">
            <v>2702.8492170475497</v>
          </cell>
          <cell r="I244">
            <v>2443.3580160750466</v>
          </cell>
          <cell r="J244">
            <v>3820.5638982429718</v>
          </cell>
          <cell r="K244">
            <v>1879.7242030364182</v>
          </cell>
          <cell r="L244">
            <v>724.65824644463476</v>
          </cell>
          <cell r="M244">
            <v>582.90315887240877</v>
          </cell>
          <cell r="N244">
            <v>873.12708627316408</v>
          </cell>
          <cell r="O244">
            <v>83.182199999999995</v>
          </cell>
          <cell r="P244">
            <v>673.89893213075334</v>
          </cell>
          <cell r="Q244">
            <v>1237.0249606708319</v>
          </cell>
          <cell r="R244">
            <v>3101.4705999999996</v>
          </cell>
          <cell r="T244">
            <v>11.5343</v>
          </cell>
          <cell r="AE244">
            <v>1102.8127547307856</v>
          </cell>
          <cell r="AF244">
            <v>502.51674127343648</v>
          </cell>
          <cell r="DO244">
            <v>244</v>
          </cell>
        </row>
        <row r="245">
          <cell r="A245" t="str">
            <v>Nashville-Davidson--Murfreesboro--Franklin, TN Metro Area</v>
          </cell>
          <cell r="B245">
            <v>2061.8906353697748</v>
          </cell>
          <cell r="C245">
            <v>5583.4237894999269</v>
          </cell>
          <cell r="D245">
            <v>4184.9576790517722</v>
          </cell>
          <cell r="E245">
            <v>2850.7806601628795</v>
          </cell>
          <cell r="F245">
            <v>2911.8570126199647</v>
          </cell>
          <cell r="G245">
            <v>2714.2676028075712</v>
          </cell>
          <cell r="H245">
            <v>2388.5220268708104</v>
          </cell>
          <cell r="I245">
            <v>2391.8359632236525</v>
          </cell>
          <cell r="J245">
            <v>2599.4835945175219</v>
          </cell>
          <cell r="K245">
            <v>2078.8855927582094</v>
          </cell>
          <cell r="L245">
            <v>2396.8520569150064</v>
          </cell>
          <cell r="M245">
            <v>2053.1268645664813</v>
          </cell>
          <cell r="N245">
            <v>1420.7317242021045</v>
          </cell>
          <cell r="O245">
            <v>913.32860600205686</v>
          </cell>
          <cell r="P245">
            <v>536.28662462863235</v>
          </cell>
          <cell r="Q245">
            <v>1003.4585593479603</v>
          </cell>
          <cell r="R245">
            <v>1213.4075496092466</v>
          </cell>
          <cell r="S245">
            <v>433.39648579777037</v>
          </cell>
          <cell r="T245">
            <v>1526.1455443006982</v>
          </cell>
          <cell r="U245">
            <v>396.71384429507503</v>
          </cell>
          <cell r="V245">
            <v>807.01249853892477</v>
          </cell>
          <cell r="W245">
            <v>221.12235305339658</v>
          </cell>
          <cell r="X245">
            <v>478.80256464952271</v>
          </cell>
          <cell r="Y245">
            <v>628.48667297555687</v>
          </cell>
          <cell r="Z245">
            <v>888.97498778505303</v>
          </cell>
          <cell r="AA245">
            <v>315.18247599155484</v>
          </cell>
          <cell r="AB245">
            <v>503.59223738912135</v>
          </cell>
          <cell r="AC245">
            <v>424.96322358490568</v>
          </cell>
          <cell r="AD245">
            <v>451.93181616008837</v>
          </cell>
          <cell r="AE245">
            <v>1231.893929945154</v>
          </cell>
          <cell r="AF245">
            <v>534.79827503313129</v>
          </cell>
          <cell r="AG245">
            <v>1929.4905190718796</v>
          </cell>
          <cell r="AH245">
            <v>1611.3317241163136</v>
          </cell>
          <cell r="AI245">
            <v>1369.7089681252337</v>
          </cell>
          <cell r="AJ245">
            <v>156.47608007925712</v>
          </cell>
          <cell r="AK245">
            <v>155.42038519380685</v>
          </cell>
          <cell r="AL245">
            <v>37.60624540540541</v>
          </cell>
          <cell r="AM245">
            <v>60.502552270872989</v>
          </cell>
          <cell r="AN245">
            <v>104.66520110639139</v>
          </cell>
          <cell r="AP245">
            <v>71.651176030258554</v>
          </cell>
          <cell r="AR245">
            <v>67.540700000000001</v>
          </cell>
          <cell r="AS245">
            <v>59.613500000000002</v>
          </cell>
          <cell r="AT245">
            <v>75.883499999999998</v>
          </cell>
          <cell r="AU245">
            <v>39.485449720934632</v>
          </cell>
          <cell r="AV245">
            <v>408.70519999999999</v>
          </cell>
          <cell r="AW245">
            <v>64.227599999999995</v>
          </cell>
          <cell r="AX245">
            <v>74.95771363028102</v>
          </cell>
          <cell r="AY245">
            <v>69.930099999999996</v>
          </cell>
          <cell r="AZ245">
            <v>20.048500000000001</v>
          </cell>
          <cell r="BA245">
            <v>36.243000000000002</v>
          </cell>
          <cell r="BB245">
            <v>55.787800000000004</v>
          </cell>
          <cell r="BE245">
            <v>12.174899999999999</v>
          </cell>
          <cell r="BF245">
            <v>47.374499999999998</v>
          </cell>
          <cell r="DO245">
            <v>245</v>
          </cell>
        </row>
        <row r="246">
          <cell r="A246" t="str">
            <v>New Haven-Milford, CT Metro Area</v>
          </cell>
          <cell r="B246">
            <v>15132.478702020961</v>
          </cell>
          <cell r="C246">
            <v>9465.9256544295094</v>
          </cell>
          <cell r="D246">
            <v>5180.4527808962739</v>
          </cell>
          <cell r="E246">
            <v>4353.4636677974077</v>
          </cell>
          <cell r="F246">
            <v>2759.8969973706812</v>
          </cell>
          <cell r="G246">
            <v>1938.8017559461073</v>
          </cell>
          <cell r="H246">
            <v>1484.5821557156498</v>
          </cell>
          <cell r="I246">
            <v>1793.1545416663671</v>
          </cell>
          <cell r="J246">
            <v>2955.0297023553953</v>
          </cell>
          <cell r="K246">
            <v>1458.1583994157668</v>
          </cell>
          <cell r="L246">
            <v>1298.9209064442236</v>
          </cell>
          <cell r="M246">
            <v>2651.4302928105208</v>
          </cell>
          <cell r="N246">
            <v>1173.8568059541951</v>
          </cell>
          <cell r="O246">
            <v>1116.2964845449264</v>
          </cell>
          <cell r="P246">
            <v>983.17919540229877</v>
          </cell>
          <cell r="Q246">
            <v>1563.5964539062818</v>
          </cell>
          <cell r="R246">
            <v>3287.5787829501874</v>
          </cell>
          <cell r="S246">
            <v>5324.2691139065264</v>
          </cell>
          <cell r="T246">
            <v>5644.3781053551374</v>
          </cell>
          <cell r="U246">
            <v>3657.4197866516383</v>
          </cell>
          <cell r="V246">
            <v>2371.3339855692943</v>
          </cell>
          <cell r="W246">
            <v>433.87528726473414</v>
          </cell>
          <cell r="DO246">
            <v>246</v>
          </cell>
        </row>
        <row r="247">
          <cell r="A247" t="str">
            <v>New Orleans-Metairie-Kenner, LA Metro Area</v>
          </cell>
          <cell r="B247">
            <v>14327.481794273423</v>
          </cell>
          <cell r="C247">
            <v>17128.223986535326</v>
          </cell>
          <cell r="D247">
            <v>9499.1097319584169</v>
          </cell>
          <cell r="E247">
            <v>8024.160274077376</v>
          </cell>
          <cell r="F247">
            <v>6752.2876792593843</v>
          </cell>
          <cell r="G247">
            <v>4862.6705951972708</v>
          </cell>
          <cell r="H247">
            <v>6602.4047244637159</v>
          </cell>
          <cell r="I247">
            <v>5725.0134163361608</v>
          </cell>
          <cell r="J247">
            <v>5145.1780969441033</v>
          </cell>
          <cell r="K247">
            <v>4724.494525336775</v>
          </cell>
          <cell r="L247">
            <v>6255.5401388208948</v>
          </cell>
          <cell r="M247">
            <v>5695.6028215623792</v>
          </cell>
          <cell r="N247">
            <v>5659.6520002011948</v>
          </cell>
          <cell r="O247">
            <v>819.56870000000004</v>
          </cell>
          <cell r="P247">
            <v>108.87119999999999</v>
          </cell>
          <cell r="Q247">
            <v>385.32926462891021</v>
          </cell>
          <cell r="R247">
            <v>717.43317666218593</v>
          </cell>
          <cell r="S247">
            <v>1311.5130999999999</v>
          </cell>
          <cell r="T247">
            <v>1007.2976846939845</v>
          </cell>
          <cell r="V247">
            <v>2918.6734000000001</v>
          </cell>
          <cell r="W247">
            <v>128.4419</v>
          </cell>
          <cell r="X247">
            <v>4.0838000000000001</v>
          </cell>
          <cell r="Y247">
            <v>39.078739303865703</v>
          </cell>
          <cell r="Z247">
            <v>23.178799999999999</v>
          </cell>
          <cell r="AA247">
            <v>1973.4642182132279</v>
          </cell>
          <cell r="AB247">
            <v>2229.8754468765774</v>
          </cell>
          <cell r="AC247">
            <v>875.30143568574738</v>
          </cell>
          <cell r="AD247">
            <v>1219.2634845726141</v>
          </cell>
          <cell r="AE247">
            <v>1346.9322606411499</v>
          </cell>
          <cell r="AF247">
            <v>1562.3672403068147</v>
          </cell>
          <cell r="AG247">
            <v>1280.19791750128</v>
          </cell>
          <cell r="AH247">
            <v>1026.5572</v>
          </cell>
          <cell r="AI247">
            <v>217.03240521490733</v>
          </cell>
          <cell r="AJ247">
            <v>853.22866898687664</v>
          </cell>
          <cell r="AK247">
            <v>362.35056796604408</v>
          </cell>
          <cell r="AL247">
            <v>1265.6226999999999</v>
          </cell>
          <cell r="AM247">
            <v>145.74257551098015</v>
          </cell>
          <cell r="AO247">
            <v>665.05709999999999</v>
          </cell>
          <cell r="AR247">
            <v>104.6011</v>
          </cell>
          <cell r="AS247">
            <v>94.785700000000006</v>
          </cell>
          <cell r="AT247">
            <v>54.352599999999995</v>
          </cell>
          <cell r="AU247">
            <v>89.657499999999999</v>
          </cell>
          <cell r="AV247">
            <v>44.467599999999997</v>
          </cell>
          <cell r="BC247">
            <v>662.66899999999998</v>
          </cell>
          <cell r="BI247">
            <v>19.2806</v>
          </cell>
          <cell r="DO247">
            <v>247</v>
          </cell>
        </row>
        <row r="248">
          <cell r="A248" t="str">
            <v>New York-Northern New Jersey-Long Island, NY-NJ-PA Metro Area</v>
          </cell>
          <cell r="B248">
            <v>84000.471599705823</v>
          </cell>
          <cell r="C248">
            <v>81313.301763187774</v>
          </cell>
          <cell r="D248">
            <v>63790.679197375612</v>
          </cell>
          <cell r="E248">
            <v>59109.644373913899</v>
          </cell>
          <cell r="F248">
            <v>76428.695559089465</v>
          </cell>
          <cell r="G248">
            <v>76348.012942973204</v>
          </cell>
          <cell r="H248">
            <v>58364.822090310859</v>
          </cell>
          <cell r="I248">
            <v>54575.701711088972</v>
          </cell>
          <cell r="J248">
            <v>43895.566414281937</v>
          </cell>
          <cell r="K248">
            <v>53919.399200150358</v>
          </cell>
          <cell r="L248">
            <v>48273.414416242682</v>
          </cell>
          <cell r="M248">
            <v>44389.796105624337</v>
          </cell>
          <cell r="N248">
            <v>33677.517449790226</v>
          </cell>
          <cell r="O248">
            <v>22319.361111595532</v>
          </cell>
          <cell r="P248">
            <v>18239.994151949992</v>
          </cell>
          <cell r="Q248">
            <v>14723.765313650556</v>
          </cell>
          <cell r="R248">
            <v>12225.053693189537</v>
          </cell>
          <cell r="S248">
            <v>9578.3303582799781</v>
          </cell>
          <cell r="T248">
            <v>6657.6043883601124</v>
          </cell>
          <cell r="U248">
            <v>6603.9793171256988</v>
          </cell>
          <cell r="V248">
            <v>7132.2900596779618</v>
          </cell>
          <cell r="W248">
            <v>5070.5722184257402</v>
          </cell>
          <cell r="X248">
            <v>5330.912167688949</v>
          </cell>
          <cell r="Y248">
            <v>4594.9423146631452</v>
          </cell>
          <cell r="Z248">
            <v>4786.5770601805943</v>
          </cell>
          <cell r="AA248">
            <v>5297.8179921667852</v>
          </cell>
          <cell r="AB248">
            <v>5027.5566265039561</v>
          </cell>
          <cell r="AC248">
            <v>5256.4577459066431</v>
          </cell>
          <cell r="AD248">
            <v>6040.7156518026613</v>
          </cell>
          <cell r="AE248">
            <v>4185.8979467520667</v>
          </cell>
          <cell r="AF248">
            <v>2633.6582680898364</v>
          </cell>
          <cell r="AG248">
            <v>3758.4520276043122</v>
          </cell>
          <cell r="AH248">
            <v>3684.3226930628316</v>
          </cell>
          <cell r="AI248">
            <v>4443.0682850434396</v>
          </cell>
          <cell r="AJ248">
            <v>4058.3834219557211</v>
          </cell>
          <cell r="AK248">
            <v>2744.8641744199931</v>
          </cell>
          <cell r="AL248">
            <v>2754.1275689070626</v>
          </cell>
          <cell r="AM248">
            <v>3019.8298676482486</v>
          </cell>
          <cell r="AN248">
            <v>2621.1502656617076</v>
          </cell>
          <cell r="AO248">
            <v>3006.7526999878705</v>
          </cell>
          <cell r="AP248">
            <v>2798.9929259385854</v>
          </cell>
          <cell r="AQ248">
            <v>2404.5711085427138</v>
          </cell>
          <cell r="AR248">
            <v>2847.3282667635754</v>
          </cell>
          <cell r="AS248">
            <v>3128.8684088426121</v>
          </cell>
          <cell r="AT248">
            <v>4190.705121168241</v>
          </cell>
          <cell r="AU248">
            <v>1691.4031504164184</v>
          </cell>
          <cell r="AV248">
            <v>2298.7880183085203</v>
          </cell>
          <cell r="AW248">
            <v>2180.1329763931726</v>
          </cell>
          <cell r="AX248">
            <v>2581.5627132902982</v>
          </cell>
          <cell r="AY248">
            <v>2194.5278655335983</v>
          </cell>
          <cell r="AZ248">
            <v>2180.0392238496493</v>
          </cell>
          <cell r="BA248">
            <v>3268.8212462269821</v>
          </cell>
          <cell r="BB248">
            <v>2940.9912556719951</v>
          </cell>
          <cell r="BC248">
            <v>1936.3006887671786</v>
          </cell>
          <cell r="BD248">
            <v>2279.9753722583723</v>
          </cell>
          <cell r="BE248">
            <v>1647.3733082596982</v>
          </cell>
          <cell r="BF248">
            <v>1469.4430491523472</v>
          </cell>
          <cell r="BG248">
            <v>956.75004435151095</v>
          </cell>
          <cell r="BH248">
            <v>2220.1553498491298</v>
          </cell>
          <cell r="BI248">
            <v>1918.7916955821522</v>
          </cell>
          <cell r="BJ248">
            <v>1450.9083443007717</v>
          </cell>
          <cell r="BK248">
            <v>2167.2319552424419</v>
          </cell>
          <cell r="BL248">
            <v>923.88936709499228</v>
          </cell>
          <cell r="BM248">
            <v>975.85753714811221</v>
          </cell>
          <cell r="BN248">
            <v>324.7898383665717</v>
          </cell>
          <cell r="BO248">
            <v>242.79910000000001</v>
          </cell>
          <cell r="BP248">
            <v>1151.1589195640208</v>
          </cell>
          <cell r="BQ248">
            <v>104.66728189525244</v>
          </cell>
          <cell r="BR248">
            <v>1242.4396440112653</v>
          </cell>
          <cell r="BS248">
            <v>334.89069107899809</v>
          </cell>
          <cell r="BT248">
            <v>357.67407754147172</v>
          </cell>
          <cell r="BU248">
            <v>1217.6587281822856</v>
          </cell>
          <cell r="BV248">
            <v>240.27483353233833</v>
          </cell>
          <cell r="BW248">
            <v>1028.7144247513563</v>
          </cell>
          <cell r="BX248">
            <v>287.55110000000002</v>
          </cell>
          <cell r="BY248">
            <v>495.15224394071492</v>
          </cell>
          <cell r="BZ248">
            <v>84.837999999999994</v>
          </cell>
          <cell r="CA248">
            <v>971.94645394671682</v>
          </cell>
          <cell r="CB248">
            <v>464.47943009562448</v>
          </cell>
          <cell r="CC248">
            <v>1009.1091319738665</v>
          </cell>
          <cell r="CD248">
            <v>881.16013411374149</v>
          </cell>
          <cell r="CE248">
            <v>513.41060000000004</v>
          </cell>
          <cell r="CF248">
            <v>948.9915573595639</v>
          </cell>
          <cell r="CG248">
            <v>0</v>
          </cell>
          <cell r="CH248">
            <v>365.53469999999999</v>
          </cell>
          <cell r="CI248">
            <v>561.60103925501437</v>
          </cell>
          <cell r="CL248">
            <v>278.98020000000002</v>
          </cell>
          <cell r="CM248">
            <v>1978.885</v>
          </cell>
          <cell r="CN248">
            <v>170.54943971810624</v>
          </cell>
          <cell r="CO248">
            <v>576.29679999999996</v>
          </cell>
          <cell r="CP248">
            <v>223.75720000000001</v>
          </cell>
          <cell r="CS248">
            <v>249.34139999999999</v>
          </cell>
          <cell r="CT248">
            <v>284.01119999999997</v>
          </cell>
          <cell r="CU248">
            <v>329.41689839119391</v>
          </cell>
          <cell r="CW248">
            <v>207.94890000000001</v>
          </cell>
          <cell r="DO248">
            <v>248</v>
          </cell>
        </row>
        <row r="249">
          <cell r="A249" t="str">
            <v>Niles-Benton Harbor, MI Metro Area</v>
          </cell>
          <cell r="B249">
            <v>1863.9440915352029</v>
          </cell>
          <cell r="C249">
            <v>1240.3568</v>
          </cell>
          <cell r="D249">
            <v>130.4521</v>
          </cell>
          <cell r="E249">
            <v>663.64710000000002</v>
          </cell>
          <cell r="F249">
            <v>1036.1181999999999</v>
          </cell>
          <cell r="G249">
            <v>854.01828765587607</v>
          </cell>
          <cell r="I249">
            <v>88.228300000000004</v>
          </cell>
          <cell r="J249">
            <v>144.78479999999999</v>
          </cell>
          <cell r="L249">
            <v>1242.4449152145246</v>
          </cell>
          <cell r="O249">
            <v>70.499724635892377</v>
          </cell>
          <cell r="P249">
            <v>117.88795316532257</v>
          </cell>
          <cell r="R249">
            <v>177.80685476190476</v>
          </cell>
          <cell r="S249">
            <v>349.47450554388911</v>
          </cell>
          <cell r="T249">
            <v>1007.1628578947368</v>
          </cell>
          <cell r="U249">
            <v>838.10288847978438</v>
          </cell>
          <cell r="V249">
            <v>1413.4060098823022</v>
          </cell>
          <cell r="W249">
            <v>4042.1953585047013</v>
          </cell>
          <cell r="X249">
            <v>2021.5729821412194</v>
          </cell>
          <cell r="Y249">
            <v>241.06309999999999</v>
          </cell>
          <cell r="AA249">
            <v>317.92965015518678</v>
          </cell>
          <cell r="AB249">
            <v>214.30250000000001</v>
          </cell>
          <cell r="DO249">
            <v>249</v>
          </cell>
        </row>
        <row r="250">
          <cell r="A250" t="str">
            <v>North Port-Bradenton-Sarasota, FL Metro Area</v>
          </cell>
          <cell r="C250">
            <v>1033.6538</v>
          </cell>
          <cell r="D250">
            <v>255.24113728522335</v>
          </cell>
          <cell r="E250">
            <v>1554.8607392248236</v>
          </cell>
          <cell r="F250">
            <v>3287.2644</v>
          </cell>
          <cell r="K250">
            <v>348.47725164017589</v>
          </cell>
          <cell r="L250">
            <v>1071.9320508728995</v>
          </cell>
          <cell r="M250">
            <v>1885.7992509316239</v>
          </cell>
          <cell r="N250">
            <v>2032.1865436973537</v>
          </cell>
          <cell r="O250">
            <v>3078.9584932691291</v>
          </cell>
          <cell r="P250">
            <v>1187.9170456114346</v>
          </cell>
          <cell r="Q250">
            <v>2834.7263961635031</v>
          </cell>
          <cell r="R250">
            <v>938.62360315789476</v>
          </cell>
          <cell r="T250">
            <v>779.95619999999997</v>
          </cell>
          <cell r="U250">
            <v>959.44486805996837</v>
          </cell>
          <cell r="V250">
            <v>2354.8699339494087</v>
          </cell>
          <cell r="W250">
            <v>2018.544496284308</v>
          </cell>
          <cell r="X250">
            <v>3498.5542970597144</v>
          </cell>
          <cell r="Y250">
            <v>3571.2520490098259</v>
          </cell>
          <cell r="Z250">
            <v>2890.9727680879969</v>
          </cell>
          <cell r="AA250">
            <v>3230.4393822032634</v>
          </cell>
          <cell r="AB250">
            <v>3153.4773185763224</v>
          </cell>
          <cell r="AC250">
            <v>2949.9748646695357</v>
          </cell>
          <cell r="AD250">
            <v>2969.5284880649929</v>
          </cell>
          <cell r="AE250">
            <v>2078.018485290399</v>
          </cell>
          <cell r="AF250">
            <v>1476.2107648676379</v>
          </cell>
          <cell r="AG250">
            <v>855.7214721936283</v>
          </cell>
          <cell r="AH250">
            <v>2598.3435246407889</v>
          </cell>
          <cell r="AI250">
            <v>3601.349824654123</v>
          </cell>
          <cell r="AJ250">
            <v>3323.1391790173311</v>
          </cell>
          <cell r="AK250">
            <v>4531.0883685003473</v>
          </cell>
          <cell r="AL250">
            <v>4455.4237384276548</v>
          </cell>
          <cell r="AM250">
            <v>2482.2656854554584</v>
          </cell>
          <cell r="AN250">
            <v>2612.1384564141417</v>
          </cell>
          <cell r="AO250">
            <v>2116.9409568173114</v>
          </cell>
          <cell r="AP250">
            <v>930.61332366974364</v>
          </cell>
          <cell r="AQ250">
            <v>2722.2339000000002</v>
          </cell>
          <cell r="AR250">
            <v>257.2484</v>
          </cell>
          <cell r="AT250">
            <v>2821.4749000000002</v>
          </cell>
          <cell r="DO250">
            <v>250</v>
          </cell>
        </row>
        <row r="251">
          <cell r="A251" t="str">
            <v>Norwich-New London, CT Metro Area</v>
          </cell>
          <cell r="B251">
            <v>3727.6120130726467</v>
          </cell>
          <cell r="C251">
            <v>2309.3641341346151</v>
          </cell>
          <cell r="D251">
            <v>528.75238168249666</v>
          </cell>
          <cell r="E251">
            <v>800.58347774610831</v>
          </cell>
          <cell r="G251">
            <v>543.85762728433338</v>
          </cell>
          <cell r="H251">
            <v>412.63110119972652</v>
          </cell>
          <cell r="I251">
            <v>502.03655984743034</v>
          </cell>
          <cell r="J251">
            <v>303.68013139906566</v>
          </cell>
          <cell r="K251">
            <v>896.40056918449204</v>
          </cell>
          <cell r="L251">
            <v>1962.4265145720428</v>
          </cell>
          <cell r="M251">
            <v>1836.3362963641011</v>
          </cell>
          <cell r="N251">
            <v>2456.2964325783846</v>
          </cell>
          <cell r="O251">
            <v>1532.0626500398514</v>
          </cell>
          <cell r="P251">
            <v>2201.5740383544303</v>
          </cell>
          <cell r="Q251">
            <v>689.84247252042485</v>
          </cell>
          <cell r="R251">
            <v>453.57435647415389</v>
          </cell>
          <cell r="S251">
            <v>696.5053999999999</v>
          </cell>
          <cell r="T251">
            <v>323.45436889848816</v>
          </cell>
          <cell r="DO251">
            <v>251</v>
          </cell>
        </row>
        <row r="252">
          <cell r="A252" t="str">
            <v>Ocala, FL Metro Area</v>
          </cell>
          <cell r="B252">
            <v>1956.9148331820002</v>
          </cell>
          <cell r="C252">
            <v>1871.4029033629049</v>
          </cell>
          <cell r="D252">
            <v>1194.4134539144736</v>
          </cell>
          <cell r="E252">
            <v>1436.6562730939627</v>
          </cell>
          <cell r="F252">
            <v>673.81772265292477</v>
          </cell>
          <cell r="G252">
            <v>910.40925242783624</v>
          </cell>
          <cell r="H252">
            <v>280.06900039543865</v>
          </cell>
          <cell r="I252">
            <v>704.6980718069201</v>
          </cell>
          <cell r="J252">
            <v>589.96459920521852</v>
          </cell>
          <cell r="K252">
            <v>346.62649077642658</v>
          </cell>
          <cell r="L252">
            <v>1281.2980528322357</v>
          </cell>
          <cell r="M252">
            <v>795.28858804300341</v>
          </cell>
          <cell r="N252">
            <v>387.22479795282322</v>
          </cell>
          <cell r="O252">
            <v>197.36215729186071</v>
          </cell>
          <cell r="P252">
            <v>66.876143624602562</v>
          </cell>
          <cell r="Q252">
            <v>119.29166951286263</v>
          </cell>
          <cell r="R252">
            <v>268.35264110333395</v>
          </cell>
          <cell r="S252">
            <v>80.988316154349249</v>
          </cell>
          <cell r="T252">
            <v>269.96100000000001</v>
          </cell>
          <cell r="U252">
            <v>75.7042</v>
          </cell>
          <cell r="V252">
            <v>106.3015</v>
          </cell>
          <cell r="Z252">
            <v>22.8126</v>
          </cell>
          <cell r="AA252">
            <v>0</v>
          </cell>
          <cell r="AB252">
            <v>28.473485630037352</v>
          </cell>
          <cell r="AE252">
            <v>0</v>
          </cell>
          <cell r="DO252">
            <v>252</v>
          </cell>
        </row>
        <row r="253">
          <cell r="A253" t="str">
            <v>Ocean City, NJ Metro Area</v>
          </cell>
          <cell r="B253">
            <v>5954.5237128646222</v>
          </cell>
          <cell r="C253">
            <v>2185.9608778248885</v>
          </cell>
          <cell r="D253">
            <v>1479.8793000000001</v>
          </cell>
          <cell r="F253">
            <v>437.80649619859088</v>
          </cell>
          <cell r="I253">
            <v>296.3295</v>
          </cell>
          <cell r="K253">
            <v>84.526200000000003</v>
          </cell>
          <cell r="M253">
            <v>1308.7336</v>
          </cell>
          <cell r="N253">
            <v>187.5197</v>
          </cell>
          <cell r="O253">
            <v>336.3904</v>
          </cell>
          <cell r="Q253">
            <v>223.84558665594849</v>
          </cell>
          <cell r="T253">
            <v>805.66819999999996</v>
          </cell>
          <cell r="U253">
            <v>368.17954039675379</v>
          </cell>
          <cell r="X253">
            <v>2796.4827</v>
          </cell>
          <cell r="Y253">
            <v>1678.3057129225981</v>
          </cell>
          <cell r="Z253">
            <v>2803.8904857142857</v>
          </cell>
          <cell r="AA253">
            <v>3515.4787999999999</v>
          </cell>
          <cell r="AB253">
            <v>1810.2106590392561</v>
          </cell>
          <cell r="AC253">
            <v>662.65530000000001</v>
          </cell>
          <cell r="AD253">
            <v>2165.411601906254</v>
          </cell>
          <cell r="AE253">
            <v>1726.1484</v>
          </cell>
          <cell r="AF253">
            <v>400.26850000000002</v>
          </cell>
          <cell r="DO253">
            <v>253</v>
          </cell>
        </row>
        <row r="254">
          <cell r="A254" t="str">
            <v>Odessa, TX Metro Area</v>
          </cell>
          <cell r="B254">
            <v>3814.5068671415916</v>
          </cell>
          <cell r="C254">
            <v>3780.2190298324472</v>
          </cell>
          <cell r="D254">
            <v>3218.0604066232863</v>
          </cell>
          <cell r="E254">
            <v>1497.4164236550475</v>
          </cell>
          <cell r="F254">
            <v>3207.1758000000004</v>
          </cell>
          <cell r="G254">
            <v>430.80764346932489</v>
          </cell>
          <cell r="H254">
            <v>241.74192815265485</v>
          </cell>
          <cell r="J254">
            <v>186.79</v>
          </cell>
          <cell r="DO254">
            <v>254</v>
          </cell>
        </row>
        <row r="255">
          <cell r="A255" t="str">
            <v>Ogden-Clearfield, UT Metro Area</v>
          </cell>
          <cell r="B255">
            <v>7658.6927208708285</v>
          </cell>
          <cell r="C255">
            <v>4509.9637232232226</v>
          </cell>
          <cell r="D255">
            <v>2974.7156399813653</v>
          </cell>
          <cell r="E255">
            <v>3500.3521728290766</v>
          </cell>
          <cell r="F255">
            <v>2195.0066756415827</v>
          </cell>
          <cell r="G255">
            <v>2255.6146950453617</v>
          </cell>
          <cell r="H255">
            <v>3158.8541444200682</v>
          </cell>
          <cell r="I255">
            <v>1584.9153170540669</v>
          </cell>
          <cell r="J255">
            <v>2817.0407901707231</v>
          </cell>
          <cell r="K255">
            <v>2494.1475324626572</v>
          </cell>
          <cell r="L255">
            <v>2164.9488504992487</v>
          </cell>
          <cell r="M255">
            <v>2349.866322753669</v>
          </cell>
          <cell r="N255">
            <v>1661.4021473401608</v>
          </cell>
          <cell r="O255">
            <v>2154.4289327142724</v>
          </cell>
          <cell r="P255">
            <v>4513.6894000000002</v>
          </cell>
          <cell r="Q255">
            <v>1725.556</v>
          </cell>
          <cell r="R255">
            <v>102.11635375820693</v>
          </cell>
          <cell r="S255">
            <v>144.24920948644794</v>
          </cell>
          <cell r="U255">
            <v>635.19060000000002</v>
          </cell>
          <cell r="V255">
            <v>1082.6148000000001</v>
          </cell>
          <cell r="W255">
            <v>2695.7402732156565</v>
          </cell>
          <cell r="X255">
            <v>5440.8202000000001</v>
          </cell>
          <cell r="Y255">
            <v>3308.2123765331526</v>
          </cell>
          <cell r="Z255">
            <v>2620.6575008601048</v>
          </cell>
          <cell r="AA255">
            <v>4207.6380193594541</v>
          </cell>
          <cell r="AB255">
            <v>2214.1547934220471</v>
          </cell>
          <cell r="DO255">
            <v>255</v>
          </cell>
        </row>
        <row r="256">
          <cell r="A256" t="str">
            <v>Oklahoma City, OK Metro Area</v>
          </cell>
          <cell r="B256">
            <v>4999.2523404445255</v>
          </cell>
          <cell r="C256">
            <v>3952.7659556146577</v>
          </cell>
          <cell r="D256">
            <v>4516.4918149132982</v>
          </cell>
          <cell r="E256">
            <v>3922.4453139106786</v>
          </cell>
          <cell r="F256">
            <v>3677.2470813865802</v>
          </cell>
          <cell r="G256">
            <v>3646.1080315677068</v>
          </cell>
          <cell r="H256">
            <v>3649.1150298131074</v>
          </cell>
          <cell r="I256">
            <v>3670.5265687669721</v>
          </cell>
          <cell r="J256">
            <v>3473.8323237412528</v>
          </cell>
          <cell r="K256">
            <v>2353.1724535912713</v>
          </cell>
          <cell r="L256">
            <v>2597.819871231361</v>
          </cell>
          <cell r="M256">
            <v>1705.5510413596392</v>
          </cell>
          <cell r="N256">
            <v>2973.0168398953338</v>
          </cell>
          <cell r="O256">
            <v>2436.8422839931873</v>
          </cell>
          <cell r="P256">
            <v>563.88774817368619</v>
          </cell>
          <cell r="Q256">
            <v>1350.8001035567499</v>
          </cell>
          <cell r="R256">
            <v>2051.3601913704583</v>
          </cell>
          <cell r="S256">
            <v>1763.4738185645128</v>
          </cell>
          <cell r="T256">
            <v>3950.3116078545781</v>
          </cell>
          <cell r="U256">
            <v>1684.6468688026821</v>
          </cell>
          <cell r="V256">
            <v>276.20257549704456</v>
          </cell>
          <cell r="W256">
            <v>118.70242100462657</v>
          </cell>
          <cell r="Y256">
            <v>192.73105474851229</v>
          </cell>
          <cell r="Z256">
            <v>532.32628874147247</v>
          </cell>
          <cell r="AA256">
            <v>2764.7080610589724</v>
          </cell>
          <cell r="AC256">
            <v>57.038779038766023</v>
          </cell>
          <cell r="AD256">
            <v>514.12099999999998</v>
          </cell>
          <cell r="AE256">
            <v>477.50061425882939</v>
          </cell>
          <cell r="AG256">
            <v>22.8978</v>
          </cell>
          <cell r="AH256">
            <v>372.37310000000002</v>
          </cell>
          <cell r="AI256">
            <v>80.417448978185988</v>
          </cell>
          <cell r="AK256">
            <v>15.434500000000002</v>
          </cell>
          <cell r="AL256">
            <v>235.03540000000001</v>
          </cell>
          <cell r="AM256">
            <v>1281.7083</v>
          </cell>
          <cell r="AN256">
            <v>668.54121682993934</v>
          </cell>
          <cell r="AO256">
            <v>417.39085899293599</v>
          </cell>
          <cell r="AQ256">
            <v>30.047850472396124</v>
          </cell>
          <cell r="AR256">
            <v>25.962199999999999</v>
          </cell>
          <cell r="AU256">
            <v>33.627600000000001</v>
          </cell>
          <cell r="AV256">
            <v>14.946770270270271</v>
          </cell>
          <cell r="BB256">
            <v>28.135100000000001</v>
          </cell>
          <cell r="DO256">
            <v>256</v>
          </cell>
        </row>
        <row r="257">
          <cell r="A257" t="str">
            <v>Olympia, WA Metro Area</v>
          </cell>
          <cell r="B257">
            <v>2989.5612329031464</v>
          </cell>
          <cell r="C257">
            <v>2918.4304363262113</v>
          </cell>
          <cell r="D257">
            <v>2119.0339712998334</v>
          </cell>
          <cell r="E257">
            <v>1280.4633541907735</v>
          </cell>
          <cell r="F257">
            <v>2366.3711718768527</v>
          </cell>
          <cell r="G257">
            <v>2222.1032480313243</v>
          </cell>
          <cell r="H257">
            <v>1189.5253146325558</v>
          </cell>
          <cell r="I257">
            <v>222.96803021072088</v>
          </cell>
          <cell r="J257">
            <v>119.67688922694815</v>
          </cell>
          <cell r="L257">
            <v>89.945800000000006</v>
          </cell>
          <cell r="O257">
            <v>124.11750000000001</v>
          </cell>
          <cell r="P257">
            <v>320.35251795589386</v>
          </cell>
          <cell r="Q257">
            <v>210.32549497997329</v>
          </cell>
          <cell r="R257">
            <v>104.5217</v>
          </cell>
          <cell r="S257">
            <v>167.7902</v>
          </cell>
          <cell r="T257">
            <v>52.6282</v>
          </cell>
          <cell r="Z257">
            <v>26.944799999999997</v>
          </cell>
          <cell r="DO257">
            <v>257</v>
          </cell>
        </row>
        <row r="258">
          <cell r="A258" t="str">
            <v>Omaha-Council Bluffs, NE-IA Metro Area</v>
          </cell>
          <cell r="B258">
            <v>7387.3318509605397</v>
          </cell>
          <cell r="C258">
            <v>6314.8227646333407</v>
          </cell>
          <cell r="D258">
            <v>5257.0484219272876</v>
          </cell>
          <cell r="E258">
            <v>4668.8079934849238</v>
          </cell>
          <cell r="F258">
            <v>4285.8477625647456</v>
          </cell>
          <cell r="G258">
            <v>2823.4803290855853</v>
          </cell>
          <cell r="H258">
            <v>3239.2752744750446</v>
          </cell>
          <cell r="I258">
            <v>3023.9739575532044</v>
          </cell>
          <cell r="J258">
            <v>3247.781017323106</v>
          </cell>
          <cell r="K258">
            <v>3691.9598153629559</v>
          </cell>
          <cell r="L258">
            <v>3264.4708044768913</v>
          </cell>
          <cell r="M258">
            <v>3459.1280858121954</v>
          </cell>
          <cell r="N258">
            <v>2804.4969568221372</v>
          </cell>
          <cell r="O258">
            <v>1592.346877748284</v>
          </cell>
          <cell r="P258">
            <v>278.20282769622708</v>
          </cell>
          <cell r="Q258">
            <v>207.529595599022</v>
          </cell>
          <cell r="R258">
            <v>136.56963316520415</v>
          </cell>
          <cell r="S258">
            <v>519.36228870864272</v>
          </cell>
          <cell r="T258">
            <v>137.2068565444624</v>
          </cell>
          <cell r="U258">
            <v>24.702000000000002</v>
          </cell>
          <cell r="V258">
            <v>15.932499999999999</v>
          </cell>
          <cell r="W258">
            <v>305.86997288084916</v>
          </cell>
          <cell r="X258">
            <v>248.05560552624007</v>
          </cell>
          <cell r="Y258">
            <v>12.9389</v>
          </cell>
          <cell r="Z258">
            <v>37.382800000000003</v>
          </cell>
          <cell r="AA258">
            <v>19.7545</v>
          </cell>
          <cell r="AB258">
            <v>20.4651</v>
          </cell>
          <cell r="AC258">
            <v>64.086382905420237</v>
          </cell>
          <cell r="AE258">
            <v>17.219991000671595</v>
          </cell>
          <cell r="AH258">
            <v>21.792300000000001</v>
          </cell>
          <cell r="AI258">
            <v>22.610900000000004</v>
          </cell>
          <cell r="AJ258">
            <v>34.201000000000001</v>
          </cell>
          <cell r="AK258">
            <v>180.9486</v>
          </cell>
          <cell r="AL258">
            <v>33.002099999999999</v>
          </cell>
          <cell r="AP258">
            <v>15.8248</v>
          </cell>
          <cell r="AR258">
            <v>14.736700000000001</v>
          </cell>
          <cell r="DO258">
            <v>258</v>
          </cell>
        </row>
        <row r="259">
          <cell r="A259" t="str">
            <v>Orlando-Kissimmee-Sanford, FL Metro Area</v>
          </cell>
          <cell r="B259">
            <v>5094.8318587940348</v>
          </cell>
          <cell r="C259">
            <v>3693.4591776332022</v>
          </cell>
          <cell r="D259">
            <v>5172.2000601036498</v>
          </cell>
          <cell r="E259">
            <v>4710.1810802185983</v>
          </cell>
          <cell r="F259">
            <v>6203.7420205871204</v>
          </cell>
          <cell r="G259">
            <v>4185.3311311025591</v>
          </cell>
          <cell r="H259">
            <v>3865.0508510734426</v>
          </cell>
          <cell r="I259">
            <v>3456.1646135028232</v>
          </cell>
          <cell r="J259">
            <v>2984.0104934894098</v>
          </cell>
          <cell r="K259">
            <v>2769.2290885357902</v>
          </cell>
          <cell r="L259">
            <v>3184.3431629924503</v>
          </cell>
          <cell r="M259">
            <v>2243.0500173995893</v>
          </cell>
          <cell r="N259">
            <v>1669.0014927312138</v>
          </cell>
          <cell r="O259">
            <v>2004.9498621324301</v>
          </cell>
          <cell r="P259">
            <v>2857.4673002939453</v>
          </cell>
          <cell r="Q259">
            <v>3021.6638600698511</v>
          </cell>
          <cell r="R259">
            <v>1284.3024013865934</v>
          </cell>
          <cell r="S259">
            <v>1411.6211627573371</v>
          </cell>
          <cell r="T259">
            <v>1037.1564522222909</v>
          </cell>
          <cell r="U259">
            <v>1943.2045981541248</v>
          </cell>
          <cell r="V259">
            <v>1824.6339231882666</v>
          </cell>
          <cell r="W259">
            <v>174.33120945663529</v>
          </cell>
          <cell r="X259">
            <v>634.39466459504274</v>
          </cell>
          <cell r="Y259">
            <v>1187.8497023622592</v>
          </cell>
          <cell r="Z259">
            <v>1168.8130021380168</v>
          </cell>
          <cell r="AA259">
            <v>625.67471233231356</v>
          </cell>
          <cell r="AB259">
            <v>757.2495632379073</v>
          </cell>
          <cell r="AC259">
            <v>1336.9921501463648</v>
          </cell>
          <cell r="AD259">
            <v>814.08647257999826</v>
          </cell>
          <cell r="AE259">
            <v>920.70040000000006</v>
          </cell>
          <cell r="AF259">
            <v>87.927499999999995</v>
          </cell>
          <cell r="AG259">
            <v>460.9041072630352</v>
          </cell>
          <cell r="AH259">
            <v>547.65717549432577</v>
          </cell>
          <cell r="AI259">
            <v>462.12920000000003</v>
          </cell>
          <cell r="AK259">
            <v>1142.5954016209475</v>
          </cell>
          <cell r="AL259">
            <v>1158.6261676294437</v>
          </cell>
          <cell r="AN259">
            <v>695.3661042405065</v>
          </cell>
          <cell r="AO259">
            <v>670.00660000000005</v>
          </cell>
          <cell r="AP259">
            <v>95.427409469075002</v>
          </cell>
          <cell r="AQ259">
            <v>441.45180790653012</v>
          </cell>
          <cell r="AS259">
            <v>1263.2367999999999</v>
          </cell>
          <cell r="AT259">
            <v>2439.3281000000002</v>
          </cell>
          <cell r="DO259">
            <v>259</v>
          </cell>
        </row>
        <row r="260">
          <cell r="A260" t="str">
            <v>Oshkosh-Neenah, WI Metro Area</v>
          </cell>
          <cell r="B260">
            <v>7824.254944547316</v>
          </cell>
          <cell r="C260">
            <v>3322.4444819539517</v>
          </cell>
          <cell r="E260">
            <v>832.55812620395932</v>
          </cell>
          <cell r="G260">
            <v>92.155000000000001</v>
          </cell>
          <cell r="J260">
            <v>88.671999999999997</v>
          </cell>
          <cell r="K260">
            <v>428.09609999999998</v>
          </cell>
          <cell r="L260">
            <v>2087.002805546244</v>
          </cell>
          <cell r="M260">
            <v>3368.7513415758594</v>
          </cell>
          <cell r="N260">
            <v>3389.7168716356105</v>
          </cell>
          <cell r="O260">
            <v>2003.9240680870191</v>
          </cell>
          <cell r="P260">
            <v>2494.340068920973</v>
          </cell>
          <cell r="Q260">
            <v>2316.7485934958272</v>
          </cell>
          <cell r="R260">
            <v>2995.2541999999999</v>
          </cell>
          <cell r="DO260">
            <v>260</v>
          </cell>
        </row>
        <row r="261">
          <cell r="A261" t="str">
            <v>Owensboro, KY Metro Area</v>
          </cell>
          <cell r="B261">
            <v>2861.9404162816832</v>
          </cell>
          <cell r="C261">
            <v>3114.1421846662415</v>
          </cell>
          <cell r="D261">
            <v>3162.8732262010581</v>
          </cell>
          <cell r="E261">
            <v>521.8461618112085</v>
          </cell>
          <cell r="F261">
            <v>206.761069210698</v>
          </cell>
          <cell r="G261">
            <v>291.21699999999998</v>
          </cell>
          <cell r="J261">
            <v>68.762599300489654</v>
          </cell>
          <cell r="K261">
            <v>59.380562466913716</v>
          </cell>
          <cell r="M261">
            <v>73.015699999999995</v>
          </cell>
          <cell r="R261">
            <v>44.589430561893899</v>
          </cell>
          <cell r="S261">
            <v>70.993300000000005</v>
          </cell>
          <cell r="U261">
            <v>27.456500000000002</v>
          </cell>
          <cell r="V261">
            <v>59.883299999999998</v>
          </cell>
          <cell r="Z261">
            <v>36.9985</v>
          </cell>
          <cell r="DO261">
            <v>261</v>
          </cell>
        </row>
        <row r="262">
          <cell r="A262" t="str">
            <v>Oxnard-Thousand Oaks-Ventura, CA Metro Area</v>
          </cell>
          <cell r="B262">
            <v>11262.463804536777</v>
          </cell>
          <cell r="C262">
            <v>9506.2971769941978</v>
          </cell>
          <cell r="D262">
            <v>9061.8876528893779</v>
          </cell>
          <cell r="E262">
            <v>10275.947722946206</v>
          </cell>
          <cell r="F262">
            <v>5436.4613584079643</v>
          </cell>
          <cell r="G262">
            <v>5490.4146064095266</v>
          </cell>
          <cell r="H262">
            <v>1718.0263138456539</v>
          </cell>
          <cell r="I262">
            <v>5112.1719102393781</v>
          </cell>
          <cell r="J262">
            <v>4148.2977745873595</v>
          </cell>
          <cell r="K262">
            <v>3933.4238831772905</v>
          </cell>
          <cell r="L262">
            <v>2747.2257982648539</v>
          </cell>
          <cell r="M262">
            <v>5193.8600295027381</v>
          </cell>
          <cell r="N262">
            <v>4523.5006724852901</v>
          </cell>
          <cell r="O262">
            <v>2822.3679709482763</v>
          </cell>
          <cell r="P262">
            <v>1377.5053395476141</v>
          </cell>
          <cell r="Q262">
            <v>2355.3498535161857</v>
          </cell>
          <cell r="R262">
            <v>1447.5736091602298</v>
          </cell>
          <cell r="S262">
            <v>3705.9857683852197</v>
          </cell>
          <cell r="T262">
            <v>3132.480884884656</v>
          </cell>
          <cell r="U262">
            <v>3314.7146142098736</v>
          </cell>
          <cell r="V262">
            <v>958.63615468559601</v>
          </cell>
          <cell r="W262">
            <v>1687.5273511427642</v>
          </cell>
          <cell r="X262">
            <v>1796.5943086152145</v>
          </cell>
          <cell r="Y262">
            <v>4431.0239982919256</v>
          </cell>
          <cell r="Z262">
            <v>5181.6872851058752</v>
          </cell>
          <cell r="AA262">
            <v>5980.2196104024879</v>
          </cell>
          <cell r="AB262">
            <v>3388.462749177861</v>
          </cell>
          <cell r="AC262">
            <v>3139.718359383055</v>
          </cell>
          <cell r="AD262">
            <v>4161.7853159650285</v>
          </cell>
          <cell r="AE262">
            <v>4577.5844710967349</v>
          </cell>
          <cell r="AF262">
            <v>0.83789999999999998</v>
          </cell>
          <cell r="BQ262">
            <v>0</v>
          </cell>
          <cell r="DO262">
            <v>262</v>
          </cell>
        </row>
        <row r="263">
          <cell r="A263" t="str">
            <v>Palm Bay-Melbourne-Titusville, FL Metro Area</v>
          </cell>
          <cell r="C263">
            <v>1678.7925190697872</v>
          </cell>
          <cell r="D263">
            <v>1678.0137445611936</v>
          </cell>
          <cell r="E263">
            <v>1427.8109714237687</v>
          </cell>
          <cell r="F263">
            <v>1771.8245053725316</v>
          </cell>
          <cell r="G263">
            <v>1967.9673974758516</v>
          </cell>
          <cell r="H263">
            <v>1288.7526624069142</v>
          </cell>
          <cell r="I263">
            <v>1522.4745649096706</v>
          </cell>
          <cell r="J263">
            <v>3862.6438478242735</v>
          </cell>
          <cell r="K263">
            <v>3010.0823840078297</v>
          </cell>
          <cell r="L263">
            <v>2669.5781690804392</v>
          </cell>
          <cell r="M263">
            <v>3460.1480993473901</v>
          </cell>
          <cell r="N263">
            <v>2874.8957295361911</v>
          </cell>
          <cell r="O263">
            <v>1875.6369931170366</v>
          </cell>
          <cell r="P263">
            <v>3025.8442239599035</v>
          </cell>
          <cell r="S263">
            <v>1379.3699699067663</v>
          </cell>
          <cell r="U263">
            <v>409.36160000000001</v>
          </cell>
          <cell r="V263">
            <v>1144.0731000000001</v>
          </cell>
          <cell r="W263">
            <v>2085.5933347844216</v>
          </cell>
          <cell r="X263">
            <v>2765.9181250604347</v>
          </cell>
          <cell r="Y263">
            <v>2443.6584830948859</v>
          </cell>
          <cell r="Z263">
            <v>2462.2455083721652</v>
          </cell>
          <cell r="AA263">
            <v>2751.5369002028037</v>
          </cell>
          <cell r="AB263">
            <v>2347.5423069008175</v>
          </cell>
          <cell r="AC263">
            <v>2759.3666809365541</v>
          </cell>
          <cell r="AD263">
            <v>2.4662999999999999</v>
          </cell>
          <cell r="AE263">
            <v>711.27999999999986</v>
          </cell>
          <cell r="AF263">
            <v>486.14272478170471</v>
          </cell>
          <cell r="AH263">
            <v>1451.1145999999999</v>
          </cell>
          <cell r="AI263">
            <v>1656.9646991900377</v>
          </cell>
          <cell r="AJ263">
            <v>3266.6601999999998</v>
          </cell>
          <cell r="AM263">
            <v>206.2261</v>
          </cell>
          <cell r="AO263">
            <v>954.66819999999996</v>
          </cell>
          <cell r="AP263">
            <v>2575.3075818852271</v>
          </cell>
          <cell r="AQ263">
            <v>2326.031143857635</v>
          </cell>
          <cell r="AR263">
            <v>2530.8472905325443</v>
          </cell>
          <cell r="AS263">
            <v>1751.1015</v>
          </cell>
          <cell r="AT263">
            <v>939.21559324015584</v>
          </cell>
          <cell r="AU263">
            <v>917.72280000000001</v>
          </cell>
          <cell r="AV263">
            <v>1119.7889</v>
          </cell>
          <cell r="AY263">
            <v>0</v>
          </cell>
          <cell r="AZ263">
            <v>278.53350804565304</v>
          </cell>
          <cell r="DO263">
            <v>263</v>
          </cell>
        </row>
        <row r="264">
          <cell r="A264" t="str">
            <v>Palm Coast, FL Metro Area</v>
          </cell>
          <cell r="C264">
            <v>1436.5487754103533</v>
          </cell>
          <cell r="D264">
            <v>898.83272438780625</v>
          </cell>
          <cell r="E264">
            <v>231.47041872931831</v>
          </cell>
          <cell r="F264">
            <v>506.9007015772068</v>
          </cell>
          <cell r="J264">
            <v>903.62555090132832</v>
          </cell>
          <cell r="K264">
            <v>25.573699999999999</v>
          </cell>
          <cell r="M264">
            <v>15.4086</v>
          </cell>
          <cell r="DO264">
            <v>264</v>
          </cell>
        </row>
        <row r="265">
          <cell r="A265" t="str">
            <v>Panama City-Lynn Haven-Panama City Beach, FL Metro Area</v>
          </cell>
          <cell r="C265">
            <v>2432.4351456569384</v>
          </cell>
          <cell r="D265">
            <v>2270.5173221192331</v>
          </cell>
          <cell r="E265">
            <v>1990.6725181669303</v>
          </cell>
          <cell r="F265">
            <v>1402.4686651218899</v>
          </cell>
          <cell r="G265">
            <v>1938.2614457864411</v>
          </cell>
          <cell r="H265">
            <v>2095.3437273053614</v>
          </cell>
          <cell r="I265">
            <v>292.94876942003515</v>
          </cell>
          <cell r="J265">
            <v>940.95719999999994</v>
          </cell>
          <cell r="K265">
            <v>58.235899999999994</v>
          </cell>
          <cell r="L265">
            <v>317.59440000000001</v>
          </cell>
          <cell r="M265">
            <v>257.38</v>
          </cell>
          <cell r="O265">
            <v>435.8974</v>
          </cell>
          <cell r="Q265">
            <v>398.94515494586159</v>
          </cell>
          <cell r="T265">
            <v>447.64010000000002</v>
          </cell>
          <cell r="V265">
            <v>41.735500000000002</v>
          </cell>
          <cell r="W265">
            <v>48.3675</v>
          </cell>
          <cell r="DO265">
            <v>265</v>
          </cell>
        </row>
        <row r="266">
          <cell r="A266" t="str">
            <v>Parkersburg-Marietta-Vienna, WV-OH Metro Area</v>
          </cell>
          <cell r="B266">
            <v>3696.7343000000001</v>
          </cell>
          <cell r="C266">
            <v>3614.7336560118456</v>
          </cell>
          <cell r="D266">
            <v>1900.918610195338</v>
          </cell>
          <cell r="E266">
            <v>1866.8151614087303</v>
          </cell>
          <cell r="F266">
            <v>287.25940000000003</v>
          </cell>
          <cell r="G266">
            <v>800.868337758503</v>
          </cell>
          <cell r="H266">
            <v>84.577328481386644</v>
          </cell>
          <cell r="I266">
            <v>173.7645</v>
          </cell>
          <cell r="J266">
            <v>189.23769999999999</v>
          </cell>
          <cell r="L266">
            <v>66.807152182570078</v>
          </cell>
          <cell r="M266">
            <v>1168.0310666473486</v>
          </cell>
          <cell r="N266">
            <v>1606.9388393026404</v>
          </cell>
          <cell r="O266">
            <v>959.5148999999999</v>
          </cell>
          <cell r="P266">
            <v>115.58929999999999</v>
          </cell>
          <cell r="Q266">
            <v>125.45229999999999</v>
          </cell>
          <cell r="S266">
            <v>34.070882674803471</v>
          </cell>
          <cell r="T266">
            <v>86.531199999999998</v>
          </cell>
          <cell r="V266">
            <v>65.562700000000007</v>
          </cell>
          <cell r="Y266">
            <v>34.778700000000001</v>
          </cell>
          <cell r="Z266">
            <v>38.081400000000002</v>
          </cell>
          <cell r="DO266">
            <v>266</v>
          </cell>
        </row>
        <row r="267">
          <cell r="A267" t="str">
            <v>Pascagoula, MS Metro Area</v>
          </cell>
          <cell r="B267">
            <v>100.6489</v>
          </cell>
          <cell r="C267">
            <v>3052.2901842709211</v>
          </cell>
          <cell r="D267">
            <v>2484.0992650932003</v>
          </cell>
          <cell r="E267">
            <v>2001.5547117003161</v>
          </cell>
          <cell r="F267">
            <v>1371.2807</v>
          </cell>
          <cell r="G267">
            <v>938.91884290296719</v>
          </cell>
          <cell r="H267">
            <v>35.148099999999999</v>
          </cell>
          <cell r="I267">
            <v>219.29900000000001</v>
          </cell>
          <cell r="J267">
            <v>149.53229999999999</v>
          </cell>
          <cell r="L267">
            <v>381.20979999999992</v>
          </cell>
          <cell r="N267">
            <v>831.59010000000001</v>
          </cell>
          <cell r="P267">
            <v>2014.4443000000003</v>
          </cell>
          <cell r="R267">
            <v>477.53238994972446</v>
          </cell>
          <cell r="S267">
            <v>59.769537873270217</v>
          </cell>
          <cell r="U267">
            <v>1021.2241400278214</v>
          </cell>
          <cell r="AG267">
            <v>44.173400000000001</v>
          </cell>
          <cell r="AH267">
            <v>31.548100000000002</v>
          </cell>
          <cell r="AN267">
            <v>414.9194</v>
          </cell>
          <cell r="AO267">
            <v>38.488998063664368</v>
          </cell>
          <cell r="DO267">
            <v>267</v>
          </cell>
        </row>
        <row r="268">
          <cell r="A268" t="str">
            <v>Pensacola-Ferry Pass-Brent, FL Metro Area</v>
          </cell>
          <cell r="B268">
            <v>2107.8838000000001</v>
          </cell>
          <cell r="C268">
            <v>2874.4520608253547</v>
          </cell>
          <cell r="D268">
            <v>3075.0887412207285</v>
          </cell>
          <cell r="E268">
            <v>2911.2806067330762</v>
          </cell>
          <cell r="F268">
            <v>2302.7670237070552</v>
          </cell>
          <cell r="G268">
            <v>2314.5133858834747</v>
          </cell>
          <cell r="H268">
            <v>2319.1931624063668</v>
          </cell>
          <cell r="I268">
            <v>2125.8079447756854</v>
          </cell>
          <cell r="J268">
            <v>1077.0999786975847</v>
          </cell>
          <cell r="K268">
            <v>1267.5637997222641</v>
          </cell>
          <cell r="L268">
            <v>671.81235976798462</v>
          </cell>
          <cell r="M268">
            <v>1210.6602607063348</v>
          </cell>
          <cell r="N268">
            <v>295.44009613240814</v>
          </cell>
          <cell r="O268">
            <v>463.05071149454295</v>
          </cell>
          <cell r="P268">
            <v>672.49490550510382</v>
          </cell>
          <cell r="Q268">
            <v>298.12498926746167</v>
          </cell>
          <cell r="S268">
            <v>363.55308119405828</v>
          </cell>
          <cell r="T268">
            <v>826.25279758497311</v>
          </cell>
          <cell r="U268">
            <v>228.02829999999997</v>
          </cell>
          <cell r="V268">
            <v>411.31591580604527</v>
          </cell>
          <cell r="X268">
            <v>787.05079999999998</v>
          </cell>
          <cell r="Y268">
            <v>70.774000000000001</v>
          </cell>
          <cell r="Z268">
            <v>27.874700000000001</v>
          </cell>
          <cell r="AE268">
            <v>24.391500000000001</v>
          </cell>
          <cell r="AG268">
            <v>32.858600000000003</v>
          </cell>
          <cell r="AJ268">
            <v>19.664537049010733</v>
          </cell>
          <cell r="AO268">
            <v>139.79220000000001</v>
          </cell>
          <cell r="DO268">
            <v>268</v>
          </cell>
        </row>
        <row r="269">
          <cell r="A269" t="str">
            <v>Peoria, IL Metro Area</v>
          </cell>
          <cell r="B269">
            <v>2831.3760780438615</v>
          </cell>
          <cell r="C269">
            <v>5322.6554527883045</v>
          </cell>
          <cell r="D269">
            <v>4908.0954147476041</v>
          </cell>
          <cell r="E269">
            <v>1842.4585858543887</v>
          </cell>
          <cell r="F269">
            <v>1772.4405686245275</v>
          </cell>
          <cell r="G269">
            <v>1470.9404487539489</v>
          </cell>
          <cell r="H269">
            <v>236.76292073490814</v>
          </cell>
          <cell r="I269">
            <v>827.3086242755802</v>
          </cell>
          <cell r="J269">
            <v>1396.6972780119977</v>
          </cell>
          <cell r="K269">
            <v>2929.7703841205534</v>
          </cell>
          <cell r="L269">
            <v>1098.6824566912462</v>
          </cell>
          <cell r="M269">
            <v>290.9939</v>
          </cell>
          <cell r="N269">
            <v>74.505255973722313</v>
          </cell>
          <cell r="O269">
            <v>161.97688781659744</v>
          </cell>
          <cell r="P269">
            <v>57.443899999999999</v>
          </cell>
          <cell r="R269">
            <v>395.94918863919366</v>
          </cell>
          <cell r="S269">
            <v>41.332531914893615</v>
          </cell>
          <cell r="U269">
            <v>31.731727985706222</v>
          </cell>
          <cell r="V269">
            <v>40.531100000000002</v>
          </cell>
          <cell r="X269">
            <v>37.881455743015252</v>
          </cell>
          <cell r="Z269">
            <v>36.229826666666668</v>
          </cell>
          <cell r="AB269">
            <v>18.069299999999998</v>
          </cell>
          <cell r="AE269">
            <v>49.314</v>
          </cell>
          <cell r="AF269">
            <v>25.1463</v>
          </cell>
          <cell r="AG269">
            <v>294.613075433821</v>
          </cell>
          <cell r="AH269">
            <v>26.7041</v>
          </cell>
          <cell r="AI269">
            <v>30.109799999999996</v>
          </cell>
          <cell r="DO269">
            <v>269</v>
          </cell>
        </row>
        <row r="270">
          <cell r="A270" t="str">
            <v>Philadelphia-Camden-Wilmington, PA-NJ-DE-MD Metro Area</v>
          </cell>
          <cell r="B270">
            <v>31000.323862474062</v>
          </cell>
          <cell r="C270">
            <v>26826.7214966512</v>
          </cell>
          <cell r="D270">
            <v>24736.679150409811</v>
          </cell>
          <cell r="E270">
            <v>21375.025647030379</v>
          </cell>
          <cell r="F270">
            <v>17524.887901223312</v>
          </cell>
          <cell r="G270">
            <v>14802.812857713336</v>
          </cell>
          <cell r="H270">
            <v>12115.655716358915</v>
          </cell>
          <cell r="I270">
            <v>12777.621106824769</v>
          </cell>
          <cell r="J270">
            <v>10229.226090691065</v>
          </cell>
          <cell r="K270">
            <v>5625.4488760235017</v>
          </cell>
          <cell r="L270">
            <v>4595.0981700681123</v>
          </cell>
          <cell r="M270">
            <v>4821.1727753383911</v>
          </cell>
          <cell r="N270">
            <v>4624.3218550539123</v>
          </cell>
          <cell r="O270">
            <v>5066.7954073287028</v>
          </cell>
          <cell r="P270">
            <v>4431.8922076764029</v>
          </cell>
          <cell r="Q270">
            <v>3720.5250207521617</v>
          </cell>
          <cell r="R270">
            <v>2774.1243676764821</v>
          </cell>
          <cell r="S270">
            <v>2247.4406343929063</v>
          </cell>
          <cell r="T270">
            <v>2389.4976642044066</v>
          </cell>
          <cell r="U270">
            <v>2396.5451559766238</v>
          </cell>
          <cell r="V270">
            <v>2868.2235530386815</v>
          </cell>
          <cell r="W270">
            <v>2318.7091896592774</v>
          </cell>
          <cell r="X270">
            <v>2748.7259110728778</v>
          </cell>
          <cell r="Y270">
            <v>3339.3544284723394</v>
          </cell>
          <cell r="Z270">
            <v>3775.0782687078113</v>
          </cell>
          <cell r="AA270">
            <v>6046.3463473362272</v>
          </cell>
          <cell r="AB270">
            <v>2524.6568011596555</v>
          </cell>
          <cell r="AC270">
            <v>2199.8746914509561</v>
          </cell>
          <cell r="AD270">
            <v>1406.3951855390997</v>
          </cell>
          <cell r="AE270">
            <v>2087.699300931582</v>
          </cell>
          <cell r="AF270">
            <v>1705.437966660031</v>
          </cell>
          <cell r="AG270">
            <v>1641.349314054552</v>
          </cell>
          <cell r="AH270">
            <v>2958.0628442401057</v>
          </cell>
          <cell r="AI270">
            <v>2378.5926961861687</v>
          </cell>
          <cell r="AJ270">
            <v>2608.7570386068792</v>
          </cell>
          <cell r="AK270">
            <v>2608.3008309983547</v>
          </cell>
          <cell r="AL270">
            <v>2017.0618480050077</v>
          </cell>
          <cell r="AM270">
            <v>1804.6798751181502</v>
          </cell>
          <cell r="AN270">
            <v>948.39526151222287</v>
          </cell>
          <cell r="AO270">
            <v>432.83741760822693</v>
          </cell>
          <cell r="AP270">
            <v>939.44478525848911</v>
          </cell>
          <cell r="AQ270">
            <v>904.97909088659799</v>
          </cell>
          <cell r="AR270">
            <v>658.98655391891464</v>
          </cell>
          <cell r="AS270">
            <v>280.33872245345015</v>
          </cell>
          <cell r="AT270">
            <v>854.17794297089824</v>
          </cell>
          <cell r="AV270">
            <v>170.76166875608175</v>
          </cell>
          <cell r="AW270">
            <v>425.77379999999999</v>
          </cell>
          <cell r="AX270">
            <v>192.79800976725414</v>
          </cell>
          <cell r="AY270">
            <v>211.20038442211057</v>
          </cell>
          <cell r="AZ270">
            <v>103.81950000000001</v>
          </cell>
          <cell r="BA270">
            <v>329.51429999999999</v>
          </cell>
          <cell r="BB270">
            <v>254.61930000000001</v>
          </cell>
          <cell r="BD270">
            <v>309.31424540852203</v>
          </cell>
          <cell r="BE270">
            <v>227.44809999999998</v>
          </cell>
          <cell r="DO270">
            <v>270</v>
          </cell>
        </row>
        <row r="271">
          <cell r="A271" t="str">
            <v>Phoenix-Mesa-Glendale, AZ Metro Area</v>
          </cell>
          <cell r="B271">
            <v>4923.9107762755093</v>
          </cell>
          <cell r="C271">
            <v>5237.7717269592385</v>
          </cell>
          <cell r="D271">
            <v>6512.1832843223692</v>
          </cell>
          <cell r="E271">
            <v>8220.8737751937097</v>
          </cell>
          <cell r="F271">
            <v>7458.1334748684949</v>
          </cell>
          <cell r="G271">
            <v>7016.0305438311634</v>
          </cell>
          <cell r="H271">
            <v>7103.2421302182074</v>
          </cell>
          <cell r="I271">
            <v>5791.8654497452853</v>
          </cell>
          <cell r="J271">
            <v>7508.5051939264231</v>
          </cell>
          <cell r="K271">
            <v>5947.8636628230615</v>
          </cell>
          <cell r="L271">
            <v>5582.7351402284412</v>
          </cell>
          <cell r="M271">
            <v>4861.624858673109</v>
          </cell>
          <cell r="N271">
            <v>5619.2014118769048</v>
          </cell>
          <cell r="O271">
            <v>5942.0978126749969</v>
          </cell>
          <cell r="P271">
            <v>5261.3593230771221</v>
          </cell>
          <cell r="Q271">
            <v>4834.5894932444035</v>
          </cell>
          <cell r="R271">
            <v>4831.817230418309</v>
          </cell>
          <cell r="S271">
            <v>4300.4256157024847</v>
          </cell>
          <cell r="T271">
            <v>3715.8839804065506</v>
          </cell>
          <cell r="U271">
            <v>3646.323188059213</v>
          </cell>
          <cell r="V271">
            <v>2466.1186667974393</v>
          </cell>
          <cell r="W271">
            <v>2333.4363106135038</v>
          </cell>
          <cell r="X271">
            <v>2813.4878475378837</v>
          </cell>
          <cell r="Y271">
            <v>2141.0745092138732</v>
          </cell>
          <cell r="Z271">
            <v>2135.5916612681472</v>
          </cell>
          <cell r="AA271">
            <v>1220.8685615930369</v>
          </cell>
          <cell r="AB271">
            <v>2377.8969060486497</v>
          </cell>
          <cell r="AC271">
            <v>1124.3069702184762</v>
          </cell>
          <cell r="AD271">
            <v>993.1639305566639</v>
          </cell>
          <cell r="AE271">
            <v>1968.4746646536205</v>
          </cell>
          <cell r="AF271">
            <v>1850.1104159878682</v>
          </cell>
          <cell r="AG271">
            <v>1220.9033897558886</v>
          </cell>
          <cell r="AH271">
            <v>622.92569197349496</v>
          </cell>
          <cell r="AI271">
            <v>87.130318406889131</v>
          </cell>
          <cell r="AJ271">
            <v>260.64570855949893</v>
          </cell>
          <cell r="AK271">
            <v>283.93727269647695</v>
          </cell>
          <cell r="AL271">
            <v>14.121579787090687</v>
          </cell>
          <cell r="AM271">
            <v>1.1324000000000001</v>
          </cell>
          <cell r="AN271">
            <v>0</v>
          </cell>
          <cell r="AO271">
            <v>29.883808463749599</v>
          </cell>
          <cell r="AP271">
            <v>147.94213218785796</v>
          </cell>
          <cell r="AQ271">
            <v>776.8916407723035</v>
          </cell>
          <cell r="AR271">
            <v>1092.1153946663198</v>
          </cell>
          <cell r="AS271">
            <v>2892.3997295924332</v>
          </cell>
          <cell r="AT271">
            <v>626.86172889544537</v>
          </cell>
          <cell r="AU271">
            <v>302.39277284212466</v>
          </cell>
          <cell r="AV271">
            <v>12.654000000000002</v>
          </cell>
          <cell r="AW271">
            <v>26.678842832880438</v>
          </cell>
          <cell r="AY271">
            <v>1004.4298675757576</v>
          </cell>
          <cell r="AZ271">
            <v>108.8511</v>
          </cell>
          <cell r="BA271">
            <v>51.241621828793782</v>
          </cell>
          <cell r="BB271">
            <v>604.87609999999995</v>
          </cell>
          <cell r="BC271">
            <v>324.89449555952132</v>
          </cell>
          <cell r="BD271">
            <v>101.0966</v>
          </cell>
          <cell r="BF271">
            <v>1209.1962000000001</v>
          </cell>
          <cell r="BG271">
            <v>73.075110345632879</v>
          </cell>
          <cell r="BM271">
            <v>4.4406999999999996</v>
          </cell>
          <cell r="BP271">
            <v>2.8961616927260363</v>
          </cell>
          <cell r="BS271">
            <v>0</v>
          </cell>
          <cell r="BU271">
            <v>7.6940999999999997</v>
          </cell>
          <cell r="CP271">
            <v>9.7925000000000004</v>
          </cell>
          <cell r="CQ271">
            <v>279.83920000000001</v>
          </cell>
          <cell r="CR271">
            <v>103.0438</v>
          </cell>
          <cell r="CT271">
            <v>4.2488000000000001</v>
          </cell>
          <cell r="CV271">
            <v>211.2662</v>
          </cell>
          <cell r="DO271">
            <v>271</v>
          </cell>
        </row>
        <row r="272">
          <cell r="A272" t="str">
            <v>Pine Bluff, AR Metro Area</v>
          </cell>
          <cell r="B272">
            <v>2581.903073711429</v>
          </cell>
          <cell r="C272">
            <v>2947.9274124894787</v>
          </cell>
          <cell r="D272">
            <v>1869.0459264333383</v>
          </cell>
          <cell r="E272">
            <v>1326.9466</v>
          </cell>
          <cell r="F272">
            <v>1138.2792999999999</v>
          </cell>
          <cell r="G272">
            <v>122.17405190060643</v>
          </cell>
          <cell r="H272">
            <v>16.4665</v>
          </cell>
          <cell r="I272">
            <v>247.51785578662788</v>
          </cell>
          <cell r="J272">
            <v>95.056600000000003</v>
          </cell>
          <cell r="N272">
            <v>9.9169999999999998</v>
          </cell>
          <cell r="R272">
            <v>74.081279631828991</v>
          </cell>
          <cell r="S272">
            <v>16.7303</v>
          </cell>
          <cell r="U272">
            <v>21.783100000000001</v>
          </cell>
          <cell r="W272">
            <v>256.86360000000002</v>
          </cell>
          <cell r="AA272">
            <v>11.4283</v>
          </cell>
          <cell r="AB272">
            <v>37.51</v>
          </cell>
          <cell r="AE272">
            <v>12.132499999999999</v>
          </cell>
          <cell r="DO272">
            <v>272</v>
          </cell>
        </row>
        <row r="273">
          <cell r="A273" t="str">
            <v>Pittsburgh, PA Metro Area</v>
          </cell>
          <cell r="B273">
            <v>10185.069151985392</v>
          </cell>
          <cell r="C273">
            <v>8439.7838653320869</v>
          </cell>
          <cell r="D273">
            <v>9140.0363499389823</v>
          </cell>
          <cell r="E273">
            <v>8576.3508720360751</v>
          </cell>
          <cell r="F273">
            <v>7355.4155224961005</v>
          </cell>
          <cell r="G273">
            <v>5685.0745644285289</v>
          </cell>
          <cell r="H273">
            <v>4614.7675082661126</v>
          </cell>
          <cell r="I273">
            <v>2860.0270958199185</v>
          </cell>
          <cell r="J273">
            <v>2857.9083001078366</v>
          </cell>
          <cell r="K273">
            <v>2824.343589053336</v>
          </cell>
          <cell r="L273">
            <v>3153.0260942197929</v>
          </cell>
          <cell r="M273">
            <v>2274.6249954870509</v>
          </cell>
          <cell r="N273">
            <v>1280.6452884847049</v>
          </cell>
          <cell r="O273">
            <v>1314.2009625238034</v>
          </cell>
          <cell r="P273">
            <v>946.2742574334867</v>
          </cell>
          <cell r="Q273">
            <v>2357.1276102944939</v>
          </cell>
          <cell r="R273">
            <v>2312.376695659967</v>
          </cell>
          <cell r="S273">
            <v>2344.068937840917</v>
          </cell>
          <cell r="T273">
            <v>1519.4107783801817</v>
          </cell>
          <cell r="U273">
            <v>1290.9859630522865</v>
          </cell>
          <cell r="V273">
            <v>873.67992119684084</v>
          </cell>
          <cell r="W273">
            <v>1875.2838867306052</v>
          </cell>
          <cell r="X273">
            <v>2030.4425151300197</v>
          </cell>
          <cell r="Y273">
            <v>1389.5722065211455</v>
          </cell>
          <cell r="Z273">
            <v>1463.0835183764418</v>
          </cell>
          <cell r="AA273">
            <v>2419.6420070126765</v>
          </cell>
          <cell r="AB273">
            <v>1293.1894542215039</v>
          </cell>
          <cell r="AC273">
            <v>1291.6545246093515</v>
          </cell>
          <cell r="AD273">
            <v>652.9361650703313</v>
          </cell>
          <cell r="AE273">
            <v>2209.4960477044056</v>
          </cell>
          <cell r="AF273">
            <v>1019.7205201958755</v>
          </cell>
          <cell r="AG273">
            <v>1555.733767674217</v>
          </cell>
          <cell r="AH273">
            <v>762.39050779319609</v>
          </cell>
          <cell r="AI273">
            <v>1365.0160300630114</v>
          </cell>
          <cell r="AJ273">
            <v>303.56316188565387</v>
          </cell>
          <cell r="AK273">
            <v>184.15488176678127</v>
          </cell>
          <cell r="AL273">
            <v>3427.9435392549995</v>
          </cell>
          <cell r="AM273">
            <v>1440.5507739197533</v>
          </cell>
          <cell r="AN273">
            <v>294.58673714328773</v>
          </cell>
          <cell r="AO273">
            <v>3323.9007633165829</v>
          </cell>
          <cell r="AP273">
            <v>2054.0589946851755</v>
          </cell>
          <cell r="AQ273">
            <v>770.02394251937687</v>
          </cell>
          <cell r="AR273">
            <v>880.52606860137507</v>
          </cell>
          <cell r="AS273">
            <v>575.34216519520396</v>
          </cell>
          <cell r="AT273">
            <v>81.394300000000001</v>
          </cell>
          <cell r="AU273">
            <v>159.97381413427561</v>
          </cell>
          <cell r="AV273">
            <v>84.911615863293392</v>
          </cell>
          <cell r="AW273">
            <v>62.9955</v>
          </cell>
          <cell r="AY273">
            <v>45.099400000000003</v>
          </cell>
          <cell r="AZ273">
            <v>47.630299999999998</v>
          </cell>
          <cell r="BB273">
            <v>30.4604</v>
          </cell>
          <cell r="DO273">
            <v>273</v>
          </cell>
        </row>
        <row r="274">
          <cell r="A274" t="str">
            <v>Pittsfield, MA Metro Area</v>
          </cell>
          <cell r="B274">
            <v>6037.7227187106655</v>
          </cell>
          <cell r="C274">
            <v>1108.0880990527007</v>
          </cell>
          <cell r="D274">
            <v>1069.8705948391596</v>
          </cell>
          <cell r="F274">
            <v>208.73009020895043</v>
          </cell>
          <cell r="G274">
            <v>239.54339999999996</v>
          </cell>
          <cell r="I274">
            <v>89.956299999999999</v>
          </cell>
          <cell r="K274">
            <v>192.07498296785184</v>
          </cell>
          <cell r="L274">
            <v>27.694099999999999</v>
          </cell>
          <cell r="M274">
            <v>90.394246903137784</v>
          </cell>
          <cell r="N274">
            <v>226.43450000000001</v>
          </cell>
          <cell r="O274">
            <v>2063.3776690824079</v>
          </cell>
          <cell r="P274">
            <v>302.16800000000001</v>
          </cell>
          <cell r="R274">
            <v>140.09399999999999</v>
          </cell>
          <cell r="S274">
            <v>219.0168744453197</v>
          </cell>
          <cell r="T274">
            <v>765.62273812749879</v>
          </cell>
          <cell r="U274">
            <v>2474.5583999999999</v>
          </cell>
          <cell r="V274">
            <v>81.88941635553077</v>
          </cell>
          <cell r="W274">
            <v>24.957899999999999</v>
          </cell>
          <cell r="Y274">
            <v>31.370999999999995</v>
          </cell>
          <cell r="AA274">
            <v>70.242999999999995</v>
          </cell>
          <cell r="DO274">
            <v>274</v>
          </cell>
        </row>
        <row r="275">
          <cell r="A275" t="str">
            <v>Pocatello, ID Metro Area</v>
          </cell>
          <cell r="B275">
            <v>4962.3378019692027</v>
          </cell>
          <cell r="C275">
            <v>2217.1546349851865</v>
          </cell>
          <cell r="D275">
            <v>1376.8485000950441</v>
          </cell>
          <cell r="E275">
            <v>1283.345426033098</v>
          </cell>
          <cell r="F275">
            <v>590.33029999999997</v>
          </cell>
          <cell r="G275">
            <v>199.05009999999999</v>
          </cell>
          <cell r="I275">
            <v>13.435700000000001</v>
          </cell>
          <cell r="J275">
            <v>22.782800000000002</v>
          </cell>
          <cell r="R275">
            <v>1.9742999999999999</v>
          </cell>
          <cell r="W275">
            <v>10.922499999999999</v>
          </cell>
          <cell r="AA275">
            <v>7.4668000000000001</v>
          </cell>
          <cell r="DO275">
            <v>275</v>
          </cell>
        </row>
        <row r="276">
          <cell r="A276" t="str">
            <v>Portland-South Portland-Biddeford, ME Metro Area</v>
          </cell>
          <cell r="B276">
            <v>11568.71858859153</v>
          </cell>
          <cell r="C276">
            <v>4498.5979932165665</v>
          </cell>
          <cell r="D276">
            <v>3025.6609207385764</v>
          </cell>
          <cell r="E276">
            <v>1876.2012988650749</v>
          </cell>
          <cell r="F276">
            <v>912.29564163519808</v>
          </cell>
          <cell r="G276">
            <v>819.36659768681261</v>
          </cell>
          <cell r="H276">
            <v>271.20389999999998</v>
          </cell>
          <cell r="I276">
            <v>369.34981772476186</v>
          </cell>
          <cell r="J276">
            <v>240.01660000000004</v>
          </cell>
          <cell r="K276">
            <v>412.80110220088966</v>
          </cell>
          <cell r="L276">
            <v>470.2069350726685</v>
          </cell>
          <cell r="M276">
            <v>580.00482559510328</v>
          </cell>
          <cell r="N276">
            <v>1241.8561824309145</v>
          </cell>
          <cell r="O276">
            <v>329.87918956997521</v>
          </cell>
          <cell r="P276">
            <v>1037.9877227725474</v>
          </cell>
          <cell r="Q276">
            <v>3042.2316987470022</v>
          </cell>
          <cell r="R276">
            <v>228.86472599072698</v>
          </cell>
          <cell r="S276">
            <v>157.42740000000001</v>
          </cell>
          <cell r="T276">
            <v>132.20264239870011</v>
          </cell>
          <cell r="U276">
            <v>259.84339999999997</v>
          </cell>
          <cell r="V276">
            <v>106.68940898106871</v>
          </cell>
          <cell r="W276">
            <v>361.23071195221479</v>
          </cell>
          <cell r="X276">
            <v>1896.5185082973619</v>
          </cell>
          <cell r="Y276">
            <v>313.70768714871195</v>
          </cell>
          <cell r="Z276">
            <v>266.21290361044555</v>
          </cell>
          <cell r="AB276">
            <v>70.106561138713573</v>
          </cell>
          <cell r="AC276">
            <v>794.35051390272474</v>
          </cell>
          <cell r="AD276">
            <v>619.03787364180732</v>
          </cell>
          <cell r="AE276">
            <v>1176.4123999999999</v>
          </cell>
          <cell r="AF276">
            <v>300.64156026764482</v>
          </cell>
          <cell r="AG276">
            <v>59.576556547565474</v>
          </cell>
          <cell r="AJ276">
            <v>111.7456</v>
          </cell>
          <cell r="AL276">
            <v>80.697497761401564</v>
          </cell>
          <cell r="AM276">
            <v>98.551123186327231</v>
          </cell>
          <cell r="AN276">
            <v>119.72490000000001</v>
          </cell>
          <cell r="AO276">
            <v>190.54353327492953</v>
          </cell>
          <cell r="AP276">
            <v>657.36559999999997</v>
          </cell>
          <cell r="AT276">
            <v>333.66419824445182</v>
          </cell>
          <cell r="AU276">
            <v>647.17089999999996</v>
          </cell>
          <cell r="DO276">
            <v>276</v>
          </cell>
        </row>
        <row r="277">
          <cell r="A277" t="str">
            <v>Portland-Vancouver-Hillsboro, OR-WA Metro Area</v>
          </cell>
          <cell r="B277">
            <v>12084.38412779399</v>
          </cell>
          <cell r="C277">
            <v>7868.5293901548357</v>
          </cell>
          <cell r="D277">
            <v>7781.9302094894629</v>
          </cell>
          <cell r="E277">
            <v>6930.4516381821613</v>
          </cell>
          <cell r="F277">
            <v>5707.5477477706745</v>
          </cell>
          <cell r="G277">
            <v>4992.5571868035449</v>
          </cell>
          <cell r="H277">
            <v>4663.3564964164252</v>
          </cell>
          <cell r="I277">
            <v>4565.7138137412394</v>
          </cell>
          <cell r="J277">
            <v>4909.7436207408464</v>
          </cell>
          <cell r="K277">
            <v>4513.4983470874404</v>
          </cell>
          <cell r="L277">
            <v>3690.5870808711866</v>
          </cell>
          <cell r="M277">
            <v>3138.2083943467583</v>
          </cell>
          <cell r="N277">
            <v>2772.8843221732832</v>
          </cell>
          <cell r="O277">
            <v>3920.0652890612732</v>
          </cell>
          <cell r="P277">
            <v>1930.8262080685386</v>
          </cell>
          <cell r="Q277">
            <v>1013.8404385838713</v>
          </cell>
          <cell r="R277">
            <v>765.41545074892588</v>
          </cell>
          <cell r="S277">
            <v>1716.5451256924507</v>
          </cell>
          <cell r="T277">
            <v>580.45368553062508</v>
          </cell>
          <cell r="U277">
            <v>722.36100365953121</v>
          </cell>
          <cell r="V277">
            <v>1851.7265193810379</v>
          </cell>
          <cell r="W277">
            <v>1248.4874047477581</v>
          </cell>
          <cell r="X277">
            <v>95.368531907944714</v>
          </cell>
          <cell r="Y277">
            <v>166.11498121212122</v>
          </cell>
          <cell r="Z277">
            <v>1124.6007508055266</v>
          </cell>
          <cell r="AA277">
            <v>380.8631949006442</v>
          </cell>
          <cell r="AB277">
            <v>74.853692742353545</v>
          </cell>
          <cell r="AC277">
            <v>51.222424352107346</v>
          </cell>
          <cell r="AE277">
            <v>52.988748676699529</v>
          </cell>
          <cell r="AF277">
            <v>11.756299999999998</v>
          </cell>
          <cell r="AH277">
            <v>2156.3299661535661</v>
          </cell>
          <cell r="AI277">
            <v>3156.8478213682311</v>
          </cell>
          <cell r="AJ277">
            <v>27.686883866753757</v>
          </cell>
          <cell r="AK277">
            <v>554.18290000000002</v>
          </cell>
          <cell r="AL277">
            <v>75.187600000000003</v>
          </cell>
          <cell r="AP277">
            <v>59.386200000000002</v>
          </cell>
          <cell r="AQ277">
            <v>114.16600513347022</v>
          </cell>
          <cell r="AS277">
            <v>53.289205274592639</v>
          </cell>
          <cell r="AT277">
            <v>6.0999999999999999E-2</v>
          </cell>
          <cell r="AV277">
            <v>30.659799999999997</v>
          </cell>
          <cell r="AX277">
            <v>27.519500000000001</v>
          </cell>
          <cell r="BA277">
            <v>25.932099999999998</v>
          </cell>
          <cell r="DO277">
            <v>277</v>
          </cell>
        </row>
        <row r="278">
          <cell r="A278" t="str">
            <v>Port St. Lucie, FL Metro Area</v>
          </cell>
          <cell r="B278">
            <v>1808.1005999999998</v>
          </cell>
          <cell r="C278">
            <v>1723.965296943358</v>
          </cell>
          <cell r="D278">
            <v>1906.4801970990527</v>
          </cell>
          <cell r="E278">
            <v>1499.0557747386545</v>
          </cell>
          <cell r="F278">
            <v>1012.9998639114392</v>
          </cell>
          <cell r="G278">
            <v>893.28807341050742</v>
          </cell>
          <cell r="H278">
            <v>1453.9913000626509</v>
          </cell>
          <cell r="I278">
            <v>2306.5860656510808</v>
          </cell>
          <cell r="J278">
            <v>2102.2655137400398</v>
          </cell>
          <cell r="K278">
            <v>2320.1280024652374</v>
          </cell>
          <cell r="L278">
            <v>1217.9919616216216</v>
          </cell>
          <cell r="M278">
            <v>2043.880018426966</v>
          </cell>
          <cell r="N278">
            <v>3716.2932202518541</v>
          </cell>
          <cell r="O278">
            <v>1124.7649835552872</v>
          </cell>
          <cell r="P278">
            <v>1340.5990532302319</v>
          </cell>
          <cell r="Q278">
            <v>79.105442529378848</v>
          </cell>
          <cell r="R278">
            <v>1490.4072700686761</v>
          </cell>
          <cell r="S278">
            <v>3513.6269000000002</v>
          </cell>
          <cell r="T278">
            <v>1016.0550386240366</v>
          </cell>
          <cell r="U278">
            <v>266.42419999999998</v>
          </cell>
          <cell r="Y278">
            <v>35.704999999999998</v>
          </cell>
          <cell r="Z278">
            <v>753.01760000000002</v>
          </cell>
          <cell r="DO278">
            <v>278</v>
          </cell>
        </row>
        <row r="279">
          <cell r="A279" t="str">
            <v>Poughkeepsie-Newburgh-Middletown, NY Metro Area</v>
          </cell>
          <cell r="B279">
            <v>7328.3047626935549</v>
          </cell>
          <cell r="C279">
            <v>4154.4565233905323</v>
          </cell>
          <cell r="D279">
            <v>1655.928410537095</v>
          </cell>
          <cell r="E279">
            <v>1255.0089</v>
          </cell>
          <cell r="F279">
            <v>932.82153422935187</v>
          </cell>
          <cell r="G279">
            <v>989.20876430757653</v>
          </cell>
          <cell r="H279">
            <v>525.41591349548003</v>
          </cell>
          <cell r="I279">
            <v>1685.8944022046676</v>
          </cell>
          <cell r="J279">
            <v>679.80130184696577</v>
          </cell>
          <cell r="K279">
            <v>827.26341920282186</v>
          </cell>
          <cell r="L279">
            <v>699.10637413592235</v>
          </cell>
          <cell r="M279">
            <v>755.89963144132935</v>
          </cell>
          <cell r="N279">
            <v>1104.4417011063067</v>
          </cell>
          <cell r="O279">
            <v>1580.0479462980961</v>
          </cell>
          <cell r="P279">
            <v>4041.6272049531144</v>
          </cell>
          <cell r="Q279">
            <v>6021.1538763646568</v>
          </cell>
          <cell r="R279">
            <v>1954.0314506274212</v>
          </cell>
          <cell r="S279">
            <v>1071.3116661666077</v>
          </cell>
          <cell r="T279">
            <v>1303.1328970106076</v>
          </cell>
          <cell r="U279">
            <v>608.54531733284614</v>
          </cell>
          <cell r="V279">
            <v>365.3916856707317</v>
          </cell>
          <cell r="W279">
            <v>282.20732844680452</v>
          </cell>
          <cell r="X279">
            <v>1135.6699059022094</v>
          </cell>
          <cell r="Y279">
            <v>2125.0813107251065</v>
          </cell>
          <cell r="Z279">
            <v>176.40770000000001</v>
          </cell>
          <cell r="AA279">
            <v>309.94704907378332</v>
          </cell>
          <cell r="AB279">
            <v>381.38296394290575</v>
          </cell>
          <cell r="AC279">
            <v>4460.9229643655035</v>
          </cell>
          <cell r="AD279">
            <v>6249.2055243513387</v>
          </cell>
          <cell r="AE279">
            <v>1540.5177083461758</v>
          </cell>
          <cell r="AF279">
            <v>4262.2488939872856</v>
          </cell>
          <cell r="AG279">
            <v>2255.7563535632553</v>
          </cell>
          <cell r="AH279">
            <v>1540.9920384062927</v>
          </cell>
          <cell r="AJ279">
            <v>326.12724938715689</v>
          </cell>
          <cell r="AK279">
            <v>189.08494947668885</v>
          </cell>
          <cell r="AM279">
            <v>70.801500000000004</v>
          </cell>
          <cell r="AN279">
            <v>930.89565979674182</v>
          </cell>
          <cell r="AO279">
            <v>169.89751066861118</v>
          </cell>
          <cell r="AP279">
            <v>140.73044565393988</v>
          </cell>
          <cell r="AR279">
            <v>125.51738208269525</v>
          </cell>
          <cell r="AU279">
            <v>4190.1558503405222</v>
          </cell>
          <cell r="DO279">
            <v>279</v>
          </cell>
        </row>
        <row r="280">
          <cell r="A280" t="str">
            <v>Prescott, AZ Metro Area</v>
          </cell>
          <cell r="B280">
            <v>2434.0564794802963</v>
          </cell>
          <cell r="C280">
            <v>393.94946169068209</v>
          </cell>
          <cell r="D280">
            <v>693.20538216973057</v>
          </cell>
          <cell r="E280">
            <v>1364.1833999999999</v>
          </cell>
          <cell r="F280">
            <v>153.2457</v>
          </cell>
          <cell r="G280">
            <v>234.9991</v>
          </cell>
          <cell r="J280">
            <v>618.00063138142991</v>
          </cell>
          <cell r="K280">
            <v>2271.8467871798953</v>
          </cell>
          <cell r="L280">
            <v>1174.694788407618</v>
          </cell>
          <cell r="P280">
            <v>138.46969999999999</v>
          </cell>
          <cell r="Q280">
            <v>29.620500000000003</v>
          </cell>
          <cell r="S280">
            <v>10.545199999999999</v>
          </cell>
          <cell r="W280">
            <v>21.202522691446919</v>
          </cell>
          <cell r="AC280">
            <v>3.2614999999999998</v>
          </cell>
          <cell r="AD280">
            <v>129.96752443851457</v>
          </cell>
          <cell r="AE280">
            <v>1056.9000375771604</v>
          </cell>
          <cell r="AH280">
            <v>109.05289999999999</v>
          </cell>
          <cell r="AI280">
            <v>232.46549999999999</v>
          </cell>
          <cell r="AM280">
            <v>11.0405</v>
          </cell>
          <cell r="AN280">
            <v>46.417200000000001</v>
          </cell>
          <cell r="AP280">
            <v>3.4098000000000002</v>
          </cell>
          <cell r="AQ280">
            <v>73.2209</v>
          </cell>
          <cell r="AS280">
            <v>127.05183316023736</v>
          </cell>
          <cell r="AT280">
            <v>175.7697</v>
          </cell>
          <cell r="BB280">
            <v>1.2358</v>
          </cell>
          <cell r="DO280">
            <v>280</v>
          </cell>
        </row>
        <row r="281">
          <cell r="A281" t="str">
            <v>Providence-New Bedford-Fall River, RI-MA Metro Area</v>
          </cell>
          <cell r="B281">
            <v>12376.805945026397</v>
          </cell>
          <cell r="C281">
            <v>13976.765413631942</v>
          </cell>
          <cell r="D281">
            <v>7748.8506400754413</v>
          </cell>
          <cell r="E281">
            <v>6507.1562097484602</v>
          </cell>
          <cell r="F281">
            <v>7269.0015207962169</v>
          </cell>
          <cell r="G281">
            <v>4941.8206376373946</v>
          </cell>
          <cell r="H281">
            <v>2187.8914028246754</v>
          </cell>
          <cell r="I281">
            <v>2374.2385544948374</v>
          </cell>
          <cell r="J281">
            <v>1954.3975722817013</v>
          </cell>
          <cell r="K281">
            <v>1942.1395473881303</v>
          </cell>
          <cell r="L281">
            <v>3309.073585027053</v>
          </cell>
          <cell r="M281">
            <v>1883.4596544395347</v>
          </cell>
          <cell r="N281">
            <v>2986.9445658735099</v>
          </cell>
          <cell r="O281">
            <v>4967.6680668627296</v>
          </cell>
          <cell r="P281">
            <v>1734.0903000633443</v>
          </cell>
          <cell r="Q281">
            <v>6628.632435687472</v>
          </cell>
          <cell r="R281">
            <v>5302.8095976771083</v>
          </cell>
          <cell r="S281">
            <v>3516.8335058118732</v>
          </cell>
          <cell r="T281">
            <v>737.42389170260753</v>
          </cell>
          <cell r="U281">
            <v>841.13009941081953</v>
          </cell>
          <cell r="V281">
            <v>623.55665880127344</v>
          </cell>
          <cell r="W281">
            <v>1188.1254971328669</v>
          </cell>
          <cell r="X281">
            <v>1752.0277197646872</v>
          </cell>
          <cell r="Y281">
            <v>3200.1380864149214</v>
          </cell>
          <cell r="Z281">
            <v>2084.33832425747</v>
          </cell>
          <cell r="AA281">
            <v>1214.3982215007848</v>
          </cell>
          <cell r="AB281">
            <v>2433.4305166442623</v>
          </cell>
          <cell r="AC281">
            <v>9956.2367333042093</v>
          </cell>
          <cell r="AD281">
            <v>7255.435484934027</v>
          </cell>
          <cell r="AE281">
            <v>8322.8079916312563</v>
          </cell>
          <cell r="AF281">
            <v>1136.3498963250561</v>
          </cell>
          <cell r="AG281">
            <v>826.72398049527362</v>
          </cell>
          <cell r="AH281">
            <v>168.99170000000001</v>
          </cell>
          <cell r="AL281">
            <v>590.0317</v>
          </cell>
          <cell r="AM281">
            <v>2544.6134856973194</v>
          </cell>
          <cell r="AN281">
            <v>1908.9184</v>
          </cell>
          <cell r="AO281">
            <v>361.8888</v>
          </cell>
          <cell r="AU281">
            <v>110.9931</v>
          </cell>
          <cell r="DO281">
            <v>281</v>
          </cell>
        </row>
        <row r="282">
          <cell r="A282" t="str">
            <v>Provo-Orem, UT Metro Area</v>
          </cell>
          <cell r="B282">
            <v>14625.172079273734</v>
          </cell>
          <cell r="C282">
            <v>6079.8874741333448</v>
          </cell>
          <cell r="D282">
            <v>6778.5821751492667</v>
          </cell>
          <cell r="E282">
            <v>3734.7977163386026</v>
          </cell>
          <cell r="F282">
            <v>4190.8912663159472</v>
          </cell>
          <cell r="G282">
            <v>6064.3311768411677</v>
          </cell>
          <cell r="H282">
            <v>5417.3965591334982</v>
          </cell>
          <cell r="I282">
            <v>889.77587941822162</v>
          </cell>
          <cell r="J282">
            <v>3031.4167537456624</v>
          </cell>
          <cell r="K282">
            <v>3231.4163979509722</v>
          </cell>
          <cell r="L282">
            <v>3065.6338148155755</v>
          </cell>
          <cell r="M282">
            <v>2814.4442040246331</v>
          </cell>
          <cell r="N282">
            <v>1342.7424417460034</v>
          </cell>
          <cell r="O282">
            <v>1567.9992301881387</v>
          </cell>
          <cell r="P282">
            <v>2110.4038500763845</v>
          </cell>
          <cell r="Q282">
            <v>1457.3904792215901</v>
          </cell>
          <cell r="R282">
            <v>708.16867882065605</v>
          </cell>
          <cell r="S282">
            <v>251.19456674301418</v>
          </cell>
          <cell r="T282">
            <v>673.56359036769686</v>
          </cell>
          <cell r="U282">
            <v>378.4581616428033</v>
          </cell>
          <cell r="V282">
            <v>9.1465999999999994</v>
          </cell>
          <cell r="W282">
            <v>5.9992000000000001</v>
          </cell>
          <cell r="Y282">
            <v>0.29409999999999997</v>
          </cell>
          <cell r="AJ282">
            <v>0.99419999999999997</v>
          </cell>
          <cell r="AM282">
            <v>248.08959999999996</v>
          </cell>
          <cell r="DO282">
            <v>282</v>
          </cell>
        </row>
        <row r="283">
          <cell r="A283" t="str">
            <v>Pueblo, CO Metro Area</v>
          </cell>
          <cell r="B283">
            <v>2897.1054935728839</v>
          </cell>
          <cell r="C283">
            <v>4250.6517189499846</v>
          </cell>
          <cell r="D283">
            <v>4158.810673351014</v>
          </cell>
          <cell r="E283">
            <v>3450.0712502149845</v>
          </cell>
          <cell r="F283">
            <v>709.75443387015594</v>
          </cell>
          <cell r="G283">
            <v>544.36379999999997</v>
          </cell>
          <cell r="H283">
            <v>348.04689999999999</v>
          </cell>
          <cell r="I283">
            <v>1440.6074710211947</v>
          </cell>
          <cell r="J283">
            <v>459.8315633289987</v>
          </cell>
          <cell r="K283">
            <v>1425.8816999999999</v>
          </cell>
          <cell r="L283">
            <v>180.46209999999999</v>
          </cell>
          <cell r="M283">
            <v>75.047600000000003</v>
          </cell>
          <cell r="N283">
            <v>4.7736800437397484</v>
          </cell>
          <cell r="U283">
            <v>0</v>
          </cell>
          <cell r="AA283">
            <v>13.777699999999999</v>
          </cell>
          <cell r="DO283">
            <v>283</v>
          </cell>
        </row>
        <row r="284">
          <cell r="A284" t="str">
            <v>Punta Gorda, FL Metro Area</v>
          </cell>
          <cell r="C284">
            <v>1730.3729606100944</v>
          </cell>
          <cell r="D284">
            <v>1612.1016622624252</v>
          </cell>
          <cell r="E284">
            <v>1904.4967906714119</v>
          </cell>
          <cell r="F284">
            <v>2090.2479973114828</v>
          </cell>
          <cell r="G284">
            <v>1934.4881500289234</v>
          </cell>
          <cell r="H284">
            <v>1378.1337821238164</v>
          </cell>
          <cell r="I284">
            <v>599.2149609905714</v>
          </cell>
          <cell r="L284">
            <v>188.32624260537526</v>
          </cell>
          <cell r="M284">
            <v>371.70361537605692</v>
          </cell>
          <cell r="O284">
            <v>470.4151</v>
          </cell>
          <cell r="P284">
            <v>947.20113102002813</v>
          </cell>
          <cell r="R284">
            <v>1278.0922122622421</v>
          </cell>
          <cell r="T284">
            <v>1401.7715000000001</v>
          </cell>
          <cell r="DO284">
            <v>284</v>
          </cell>
        </row>
        <row r="285">
          <cell r="A285" t="str">
            <v>Racine, WI Metro Area</v>
          </cell>
          <cell r="B285">
            <v>7931.0008890996423</v>
          </cell>
          <cell r="C285">
            <v>6656.7888172339508</v>
          </cell>
          <cell r="D285">
            <v>4012.6199373531354</v>
          </cell>
          <cell r="E285">
            <v>1879.6638297295035</v>
          </cell>
          <cell r="F285">
            <v>1301.0648326342284</v>
          </cell>
          <cell r="G285">
            <v>645.69245979620189</v>
          </cell>
          <cell r="H285">
            <v>1137.2284</v>
          </cell>
          <cell r="I285">
            <v>177.2234</v>
          </cell>
          <cell r="L285">
            <v>90.858900000000006</v>
          </cell>
          <cell r="N285">
            <v>98.491</v>
          </cell>
          <cell r="O285">
            <v>837.24350000000004</v>
          </cell>
          <cell r="Q285">
            <v>665.87919999999997</v>
          </cell>
          <cell r="S285">
            <v>95.744</v>
          </cell>
          <cell r="T285">
            <v>164.27099999999999</v>
          </cell>
          <cell r="V285">
            <v>599.60149999999999</v>
          </cell>
          <cell r="W285">
            <v>1954.4608000000001</v>
          </cell>
          <cell r="X285">
            <v>198.84241513290377</v>
          </cell>
          <cell r="Z285">
            <v>890.45486415040455</v>
          </cell>
          <cell r="AA285">
            <v>856.94129999999996</v>
          </cell>
          <cell r="DO285">
            <v>285</v>
          </cell>
        </row>
        <row r="286">
          <cell r="A286" t="str">
            <v>Raleigh-Cary, NC Metro Area</v>
          </cell>
          <cell r="B286">
            <v>4814.4878975365054</v>
          </cell>
          <cell r="C286">
            <v>4718.8910721786669</v>
          </cell>
          <cell r="D286">
            <v>3406.9675475935355</v>
          </cell>
          <cell r="E286">
            <v>2522.1802995382377</v>
          </cell>
          <cell r="F286">
            <v>1879.654341886142</v>
          </cell>
          <cell r="G286">
            <v>2608.3271753208001</v>
          </cell>
          <cell r="H286">
            <v>2389.0032380473322</v>
          </cell>
          <cell r="I286">
            <v>2428.6513484954025</v>
          </cell>
          <cell r="J286">
            <v>2468.8841189548384</v>
          </cell>
          <cell r="K286">
            <v>1373.2760113581728</v>
          </cell>
          <cell r="L286">
            <v>1070.4434196252882</v>
          </cell>
          <cell r="M286">
            <v>1803.1840502034549</v>
          </cell>
          <cell r="N286">
            <v>1011.0522243345412</v>
          </cell>
          <cell r="O286">
            <v>598.91845757634326</v>
          </cell>
          <cell r="P286">
            <v>513.75734705705395</v>
          </cell>
          <cell r="Q286">
            <v>280.84886639236873</v>
          </cell>
          <cell r="R286">
            <v>468.59025366667561</v>
          </cell>
          <cell r="S286">
            <v>135.50059999999999</v>
          </cell>
          <cell r="T286">
            <v>370.39670000000001</v>
          </cell>
          <cell r="U286">
            <v>127.51748817349139</v>
          </cell>
          <cell r="V286">
            <v>177.18248450524524</v>
          </cell>
          <cell r="W286">
            <v>118.48877365542388</v>
          </cell>
          <cell r="Y286">
            <v>105.08950000000002</v>
          </cell>
          <cell r="Z286">
            <v>216.1361943129119</v>
          </cell>
          <cell r="AA286">
            <v>540.89846414889769</v>
          </cell>
          <cell r="AB286">
            <v>313.36399999999998</v>
          </cell>
          <cell r="AC286">
            <v>141.54135873421902</v>
          </cell>
          <cell r="AD286">
            <v>107.88120000000001</v>
          </cell>
          <cell r="AE286">
            <v>130.80389448979591</v>
          </cell>
          <cell r="AF286">
            <v>115.8335958528087</v>
          </cell>
          <cell r="AI286">
            <v>97.703699999999998</v>
          </cell>
          <cell r="AJ286">
            <v>46.053100000000001</v>
          </cell>
          <cell r="AK286">
            <v>49.941699999999997</v>
          </cell>
          <cell r="AM286">
            <v>47.953099999999999</v>
          </cell>
          <cell r="DO286">
            <v>286</v>
          </cell>
        </row>
        <row r="287">
          <cell r="A287" t="str">
            <v>Rapid City, SD Metro Area</v>
          </cell>
          <cell r="B287">
            <v>2718.8867396767241</v>
          </cell>
          <cell r="C287">
            <v>2796.4306072587697</v>
          </cell>
          <cell r="D287">
            <v>2448.0328825307247</v>
          </cell>
          <cell r="E287">
            <v>640.49913238578677</v>
          </cell>
          <cell r="F287">
            <v>505.19324813753582</v>
          </cell>
          <cell r="G287">
            <v>271.18191265015014</v>
          </cell>
          <cell r="J287">
            <v>438.63357032520327</v>
          </cell>
          <cell r="K287">
            <v>62.909399999999998</v>
          </cell>
          <cell r="N287">
            <v>13.8842</v>
          </cell>
          <cell r="O287">
            <v>11.5114</v>
          </cell>
          <cell r="R287">
            <v>6.3461999999999996</v>
          </cell>
          <cell r="U287">
            <v>2.5329999999999999</v>
          </cell>
          <cell r="AB287">
            <v>406.41149999999993</v>
          </cell>
          <cell r="AE287">
            <v>1.4106000000000001</v>
          </cell>
          <cell r="DO287">
            <v>287</v>
          </cell>
        </row>
        <row r="288">
          <cell r="A288" t="str">
            <v>Reading, PA Metro Area</v>
          </cell>
          <cell r="B288">
            <v>18954.44826972068</v>
          </cell>
          <cell r="C288">
            <v>8710.5590800547634</v>
          </cell>
          <cell r="D288">
            <v>2495.1577768388702</v>
          </cell>
          <cell r="E288">
            <v>3017.1527414126949</v>
          </cell>
          <cell r="F288">
            <v>1759.3797465139203</v>
          </cell>
          <cell r="G288">
            <v>892.89517294307961</v>
          </cell>
          <cell r="H288">
            <v>365.6245188405797</v>
          </cell>
          <cell r="I288">
            <v>973.34845466121385</v>
          </cell>
          <cell r="J288">
            <v>355.82022632904307</v>
          </cell>
          <cell r="K288">
            <v>1647.2805423875286</v>
          </cell>
          <cell r="L288">
            <v>384.11478964776182</v>
          </cell>
          <cell r="M288">
            <v>182.55900429916747</v>
          </cell>
          <cell r="N288">
            <v>291.01229398031131</v>
          </cell>
          <cell r="O288">
            <v>121.0183</v>
          </cell>
          <cell r="P288">
            <v>899.64210754032069</v>
          </cell>
          <cell r="Q288">
            <v>3626.7855271553822</v>
          </cell>
          <cell r="R288">
            <v>163.77886603137935</v>
          </cell>
          <cell r="S288">
            <v>323.74709999999999</v>
          </cell>
          <cell r="U288">
            <v>206.6729</v>
          </cell>
          <cell r="V288">
            <v>91.314899999999994</v>
          </cell>
          <cell r="DO288">
            <v>288</v>
          </cell>
        </row>
        <row r="289">
          <cell r="A289" t="str">
            <v>Redding, CA Metro Area</v>
          </cell>
          <cell r="B289">
            <v>2871.4779932559295</v>
          </cell>
          <cell r="C289">
            <v>2099.2198392837158</v>
          </cell>
          <cell r="D289">
            <v>2514.7907035523344</v>
          </cell>
          <cell r="E289">
            <v>1118.4482192060566</v>
          </cell>
          <cell r="F289">
            <v>153.84360000000001</v>
          </cell>
          <cell r="G289">
            <v>154.97079595822859</v>
          </cell>
          <cell r="H289">
            <v>760.64813230707705</v>
          </cell>
          <cell r="I289">
            <v>264.65954079717943</v>
          </cell>
          <cell r="J289">
            <v>890.59407308539596</v>
          </cell>
          <cell r="K289">
            <v>706.03045850111869</v>
          </cell>
          <cell r="N289">
            <v>131.27459999999999</v>
          </cell>
          <cell r="O289">
            <v>250.24809999999999</v>
          </cell>
          <cell r="T289">
            <v>7.2622</v>
          </cell>
          <cell r="U289">
            <v>5.3282999999999996</v>
          </cell>
          <cell r="AA289">
            <v>3.4225999999999996</v>
          </cell>
          <cell r="AB289">
            <v>12.222799999999999</v>
          </cell>
          <cell r="AT289">
            <v>12.123799999999999</v>
          </cell>
          <cell r="BF289">
            <v>6.7803000000000004</v>
          </cell>
          <cell r="DO289">
            <v>289</v>
          </cell>
        </row>
        <row r="290">
          <cell r="A290" t="str">
            <v>Reno-Sparks, NV Metro Area</v>
          </cell>
          <cell r="B290">
            <v>6412.008707867436</v>
          </cell>
          <cell r="C290">
            <v>6306.4074219791419</v>
          </cell>
          <cell r="D290">
            <v>6946.5584089302847</v>
          </cell>
          <cell r="E290">
            <v>5053.2579331398038</v>
          </cell>
          <cell r="F290">
            <v>4600.640888600954</v>
          </cell>
          <cell r="G290">
            <v>3227.3203468554616</v>
          </cell>
          <cell r="H290">
            <v>2483.5551140681305</v>
          </cell>
          <cell r="I290">
            <v>789.54556086863488</v>
          </cell>
          <cell r="J290">
            <v>1666.0046243417116</v>
          </cell>
          <cell r="K290">
            <v>923.95138848818897</v>
          </cell>
          <cell r="L290">
            <v>419.86060259230169</v>
          </cell>
          <cell r="M290">
            <v>242.72320000000002</v>
          </cell>
          <cell r="O290">
            <v>132.01150448904551</v>
          </cell>
          <cell r="P290">
            <v>44.600499999999997</v>
          </cell>
          <cell r="Q290">
            <v>43.243099999999998</v>
          </cell>
          <cell r="T290">
            <v>0.1057</v>
          </cell>
          <cell r="U290">
            <v>183.91059999999996</v>
          </cell>
          <cell r="V290">
            <v>1821.2948603795282</v>
          </cell>
          <cell r="AA290">
            <v>0.69969999999999999</v>
          </cell>
          <cell r="AD290">
            <v>3.081</v>
          </cell>
          <cell r="DO290">
            <v>290</v>
          </cell>
        </row>
        <row r="291">
          <cell r="A291" t="str">
            <v>Richmond, VA Metro Area</v>
          </cell>
          <cell r="B291">
            <v>6595.903407305138</v>
          </cell>
          <cell r="C291">
            <v>7172.8763227967856</v>
          </cell>
          <cell r="D291">
            <v>6499.3642750576601</v>
          </cell>
          <cell r="E291">
            <v>2878.3784827415029</v>
          </cell>
          <cell r="F291">
            <v>2735.1905050588957</v>
          </cell>
          <cell r="G291">
            <v>2498.8302267506697</v>
          </cell>
          <cell r="H291">
            <v>2227.9312543965248</v>
          </cell>
          <cell r="I291">
            <v>1940.7022139018293</v>
          </cell>
          <cell r="J291">
            <v>1890.2691673053027</v>
          </cell>
          <cell r="K291">
            <v>2698.0223238808762</v>
          </cell>
          <cell r="L291">
            <v>1961.1352467291651</v>
          </cell>
          <cell r="M291">
            <v>1777.6318336456898</v>
          </cell>
          <cell r="N291">
            <v>1627.4652274040384</v>
          </cell>
          <cell r="O291">
            <v>1505.0798594828275</v>
          </cell>
          <cell r="P291">
            <v>907.36621556905118</v>
          </cell>
          <cell r="Q291">
            <v>1313.3474527088763</v>
          </cell>
          <cell r="R291">
            <v>760.09648144187452</v>
          </cell>
          <cell r="S291">
            <v>510.86080948632161</v>
          </cell>
          <cell r="T291">
            <v>1658.665051279768</v>
          </cell>
          <cell r="U291">
            <v>1085.5804008393122</v>
          </cell>
          <cell r="V291">
            <v>2268.1116730327294</v>
          </cell>
          <cell r="W291">
            <v>948.87399578731242</v>
          </cell>
          <cell r="X291">
            <v>1681.4959911337094</v>
          </cell>
          <cell r="Y291">
            <v>981.47772060987165</v>
          </cell>
          <cell r="Z291">
            <v>571.11686086147301</v>
          </cell>
          <cell r="AA291">
            <v>67.927654191218394</v>
          </cell>
          <cell r="AB291">
            <v>97.339759494032734</v>
          </cell>
          <cell r="AC291">
            <v>26.321448314606741</v>
          </cell>
          <cell r="AD291">
            <v>47.165300000000002</v>
          </cell>
          <cell r="AE291">
            <v>42.690324902376432</v>
          </cell>
          <cell r="AF291">
            <v>53.9895</v>
          </cell>
          <cell r="AG291">
            <v>47.956656170212767</v>
          </cell>
          <cell r="AH291">
            <v>56.475996922519926</v>
          </cell>
          <cell r="AJ291">
            <v>141.80294799697657</v>
          </cell>
          <cell r="AL291">
            <v>1335.8826759316769</v>
          </cell>
          <cell r="AM291">
            <v>36.844488108108109</v>
          </cell>
          <cell r="AN291">
            <v>23.386692733118974</v>
          </cell>
          <cell r="AO291">
            <v>68.964200000000005</v>
          </cell>
          <cell r="AP291">
            <v>8.4520999999999997</v>
          </cell>
          <cell r="AQ291">
            <v>9.7500000000000003E-2</v>
          </cell>
          <cell r="AR291">
            <v>31.585428345609529</v>
          </cell>
          <cell r="AT291">
            <v>39.461799999999997</v>
          </cell>
          <cell r="AV291">
            <v>51.48259039548023</v>
          </cell>
          <cell r="BA291">
            <v>41.264400000000009</v>
          </cell>
          <cell r="BC291">
            <v>46.112100000000005</v>
          </cell>
          <cell r="DO291">
            <v>291</v>
          </cell>
        </row>
        <row r="292">
          <cell r="A292" t="str">
            <v>Riverside-San Bernardino-Ontario, CA Metro Area</v>
          </cell>
          <cell r="B292">
            <v>4302.448789702541</v>
          </cell>
          <cell r="C292">
            <v>6514.8660264676118</v>
          </cell>
          <cell r="D292">
            <v>4382.2196694975792</v>
          </cell>
          <cell r="E292">
            <v>4065.1271619919926</v>
          </cell>
          <cell r="F292">
            <v>3232.2582128921431</v>
          </cell>
          <cell r="G292">
            <v>4753.8928880079802</v>
          </cell>
          <cell r="H292">
            <v>3308.2211829739422</v>
          </cell>
          <cell r="I292">
            <v>6663.5554909816483</v>
          </cell>
          <cell r="J292">
            <v>5637.5468201134372</v>
          </cell>
          <cell r="K292">
            <v>6126.8845950500863</v>
          </cell>
          <cell r="L292">
            <v>5098.8775932018671</v>
          </cell>
          <cell r="M292">
            <v>4359.4099791837634</v>
          </cell>
          <cell r="N292">
            <v>4511.6191036248256</v>
          </cell>
          <cell r="O292">
            <v>4282.6809031842768</v>
          </cell>
          <cell r="P292">
            <v>5524.1870176634693</v>
          </cell>
          <cell r="Q292">
            <v>6397.3034283653087</v>
          </cell>
          <cell r="R292">
            <v>5867.5063573307543</v>
          </cell>
          <cell r="S292">
            <v>5791.5299919725139</v>
          </cell>
          <cell r="T292">
            <v>4301.1153431664534</v>
          </cell>
          <cell r="U292">
            <v>5105.4634198970143</v>
          </cell>
          <cell r="V292">
            <v>3944.1713895072885</v>
          </cell>
          <cell r="W292">
            <v>2514.5186308687253</v>
          </cell>
          <cell r="X292">
            <v>1945.835759024777</v>
          </cell>
          <cell r="Y292">
            <v>2051.4374086684702</v>
          </cell>
          <cell r="Z292">
            <v>978.88756001765887</v>
          </cell>
          <cell r="AA292">
            <v>1066.2972394147725</v>
          </cell>
          <cell r="AB292">
            <v>2130.7438500481712</v>
          </cell>
          <cell r="AC292">
            <v>3894.5628994982176</v>
          </cell>
          <cell r="AD292">
            <v>2925.5639095621286</v>
          </cell>
          <cell r="AE292">
            <v>3051.1773780772451</v>
          </cell>
          <cell r="AF292">
            <v>3290.710238859378</v>
          </cell>
          <cell r="AG292">
            <v>1405.6163104929119</v>
          </cell>
          <cell r="AH292">
            <v>835.15387038427934</v>
          </cell>
          <cell r="AI292">
            <v>929.30471283928523</v>
          </cell>
          <cell r="AJ292">
            <v>2843.7808703554524</v>
          </cell>
          <cell r="AK292">
            <v>2283.6683468177516</v>
          </cell>
          <cell r="AL292">
            <v>1931.6404663911283</v>
          </cell>
          <cell r="AM292">
            <v>2293.1880513829478</v>
          </cell>
          <cell r="AN292">
            <v>1937.7934563063309</v>
          </cell>
          <cell r="AO292">
            <v>955.39110224524222</v>
          </cell>
          <cell r="AP292">
            <v>53.821939039566047</v>
          </cell>
          <cell r="AQ292">
            <v>459.98939321370756</v>
          </cell>
          <cell r="AS292">
            <v>7.7176999999999998</v>
          </cell>
          <cell r="AV292">
            <v>71.814087011807445</v>
          </cell>
          <cell r="AW292">
            <v>103.34045704178642</v>
          </cell>
          <cell r="AX292">
            <v>2163.8171706056128</v>
          </cell>
          <cell r="AY292">
            <v>2475.6384593762768</v>
          </cell>
          <cell r="AZ292">
            <v>2351.0663050394796</v>
          </cell>
          <cell r="BA292">
            <v>1304.6771173532843</v>
          </cell>
          <cell r="BB292">
            <v>2753.9333753426963</v>
          </cell>
          <cell r="BC292">
            <v>5666.4327490466276</v>
          </cell>
          <cell r="BD292">
            <v>1953.8334048973845</v>
          </cell>
          <cell r="BE292">
            <v>494.79404782755893</v>
          </cell>
          <cell r="BF292">
            <v>444.34174093280478</v>
          </cell>
          <cell r="BG292">
            <v>795.82055409600173</v>
          </cell>
          <cell r="BH292">
            <v>61.620585948932352</v>
          </cell>
          <cell r="BI292">
            <v>3049.6063198452393</v>
          </cell>
          <cell r="BJ292">
            <v>2245.4695583236899</v>
          </cell>
          <cell r="BK292">
            <v>950.5897321271143</v>
          </cell>
          <cell r="BL292">
            <v>794.21983215767636</v>
          </cell>
          <cell r="BM292">
            <v>1520.0097170389438</v>
          </cell>
          <cell r="BN292">
            <v>2728.7764210557693</v>
          </cell>
          <cell r="BO292">
            <v>2165.9101017736621</v>
          </cell>
          <cell r="BP292">
            <v>2973.7913716959588</v>
          </cell>
          <cell r="BQ292">
            <v>3911.4905180219571</v>
          </cell>
          <cell r="BR292">
            <v>5002.7818215776488</v>
          </cell>
          <cell r="BS292">
            <v>3786.7416139340849</v>
          </cell>
          <cell r="BT292">
            <v>972.98580579470206</v>
          </cell>
          <cell r="BU292">
            <v>4625.6029454372938</v>
          </cell>
          <cell r="BV292">
            <v>3945.1433554216869</v>
          </cell>
          <cell r="BW292">
            <v>204.7107</v>
          </cell>
          <cell r="BX292">
            <v>615.59320000000002</v>
          </cell>
          <cell r="BZ292">
            <v>522.77416185271215</v>
          </cell>
          <cell r="CA292">
            <v>15.020299999999999</v>
          </cell>
          <cell r="CE292">
            <v>2.0627</v>
          </cell>
          <cell r="CF292">
            <v>99.985200000000006</v>
          </cell>
          <cell r="CJ292">
            <v>0.5948</v>
          </cell>
          <cell r="CT292">
            <v>9.5093999999999994</v>
          </cell>
          <cell r="CY292">
            <v>1.6909000000000001</v>
          </cell>
          <cell r="DA292">
            <v>0.74020000000000008</v>
          </cell>
          <cell r="DB292">
            <v>3220.1844999999998</v>
          </cell>
          <cell r="DC292">
            <v>18.318700000000003</v>
          </cell>
          <cell r="DD292">
            <v>1838.2779118807812</v>
          </cell>
          <cell r="DE292">
            <v>2155.2545138354612</v>
          </cell>
          <cell r="DF292">
            <v>31.065299999999997</v>
          </cell>
          <cell r="DG292">
            <v>8.5695999999999994</v>
          </cell>
          <cell r="DH292">
            <v>67.695099999999996</v>
          </cell>
          <cell r="DI292">
            <v>0.71879999999999999</v>
          </cell>
          <cell r="DJ292">
            <v>35.689900000000002</v>
          </cell>
          <cell r="DO292">
            <v>292</v>
          </cell>
        </row>
        <row r="293">
          <cell r="A293" t="str">
            <v>Roanoke, VA Metro Area</v>
          </cell>
          <cell r="B293">
            <v>3452.7447231109286</v>
          </cell>
          <cell r="C293">
            <v>3676.2530903694555</v>
          </cell>
          <cell r="D293">
            <v>2238.9475285697977</v>
          </cell>
          <cell r="E293">
            <v>2292.8110685945117</v>
          </cell>
          <cell r="F293">
            <v>2057.3202540489347</v>
          </cell>
          <cell r="G293">
            <v>1372.1830240006634</v>
          </cell>
          <cell r="H293">
            <v>1442.1871918435988</v>
          </cell>
          <cell r="I293">
            <v>2042.8381999999999</v>
          </cell>
          <cell r="J293">
            <v>328.0972584325109</v>
          </cell>
          <cell r="K293">
            <v>180.6012731651376</v>
          </cell>
          <cell r="L293">
            <v>47.801400000000001</v>
          </cell>
          <cell r="M293">
            <v>74.344292907534566</v>
          </cell>
          <cell r="N293">
            <v>94.026799999999994</v>
          </cell>
          <cell r="O293">
            <v>103.3557</v>
          </cell>
          <cell r="Q293">
            <v>52.986600000000003</v>
          </cell>
          <cell r="R293">
            <v>66.033500000000004</v>
          </cell>
          <cell r="T293">
            <v>53.479131141655564</v>
          </cell>
          <cell r="U293">
            <v>284.89401566168357</v>
          </cell>
          <cell r="W293">
            <v>32.142099999999999</v>
          </cell>
          <cell r="X293">
            <v>73.239699999999999</v>
          </cell>
          <cell r="AA293">
            <v>66.983099999999993</v>
          </cell>
          <cell r="AB293">
            <v>34.917999999999999</v>
          </cell>
          <cell r="AC293">
            <v>28.187547696476962</v>
          </cell>
          <cell r="DO293">
            <v>293</v>
          </cell>
        </row>
        <row r="294">
          <cell r="A294" t="str">
            <v>Rochester, MN Metro Area</v>
          </cell>
          <cell r="B294">
            <v>4449.863368712352</v>
          </cell>
          <cell r="C294">
            <v>2375.880780290292</v>
          </cell>
          <cell r="D294">
            <v>2419.8696837386569</v>
          </cell>
          <cell r="E294">
            <v>2884.2935998070775</v>
          </cell>
          <cell r="F294">
            <v>115.8807</v>
          </cell>
          <cell r="G294">
            <v>388.9314535512857</v>
          </cell>
          <cell r="I294">
            <v>24.505299999999998</v>
          </cell>
          <cell r="K294">
            <v>326.63100805731489</v>
          </cell>
          <cell r="M294">
            <v>474.59769999999997</v>
          </cell>
          <cell r="O294">
            <v>27.8795</v>
          </cell>
          <cell r="P294">
            <v>618.02110000000005</v>
          </cell>
          <cell r="Q294">
            <v>39.533700000000003</v>
          </cell>
          <cell r="S294">
            <v>208.89521108351445</v>
          </cell>
          <cell r="T294">
            <v>23.732800000000001</v>
          </cell>
          <cell r="U294">
            <v>34.901056835965292</v>
          </cell>
          <cell r="AA294">
            <v>22.038699999999999</v>
          </cell>
          <cell r="AD294">
            <v>20.446100000000001</v>
          </cell>
          <cell r="AF294">
            <v>1493.3233</v>
          </cell>
          <cell r="AH294">
            <v>129.66319999999999</v>
          </cell>
          <cell r="DO294">
            <v>294</v>
          </cell>
        </row>
        <row r="295">
          <cell r="A295" t="str">
            <v>Rochester, NY Metro Area</v>
          </cell>
          <cell r="B295">
            <v>8007.0188736898854</v>
          </cell>
          <cell r="C295">
            <v>10545.044907995865</v>
          </cell>
          <cell r="D295">
            <v>7948.6008827799405</v>
          </cell>
          <cell r="E295">
            <v>3994.0609649319008</v>
          </cell>
          <cell r="F295">
            <v>3289.9966738524968</v>
          </cell>
          <cell r="G295">
            <v>2788.5569095094802</v>
          </cell>
          <cell r="H295">
            <v>2762.7928062190313</v>
          </cell>
          <cell r="I295">
            <v>1609.5886643771937</v>
          </cell>
          <cell r="J295">
            <v>1793.4365665863145</v>
          </cell>
          <cell r="K295">
            <v>1519.3551731803975</v>
          </cell>
          <cell r="L295">
            <v>1021.9752827652395</v>
          </cell>
          <cell r="M295">
            <v>707.75328482678606</v>
          </cell>
          <cell r="N295">
            <v>515.75306906974015</v>
          </cell>
          <cell r="O295">
            <v>216.61175735482567</v>
          </cell>
          <cell r="P295">
            <v>353.75947794303801</v>
          </cell>
          <cell r="Q295">
            <v>363.91356773214136</v>
          </cell>
          <cell r="R295">
            <v>894.87815348932986</v>
          </cell>
          <cell r="S295">
            <v>365.50921368079372</v>
          </cell>
          <cell r="T295">
            <v>1005.0887999999999</v>
          </cell>
          <cell r="U295">
            <v>422.0607023843279</v>
          </cell>
          <cell r="V295">
            <v>1572.2774999999999</v>
          </cell>
          <cell r="W295">
            <v>126.84279136108714</v>
          </cell>
          <cell r="X295">
            <v>174.61031934826886</v>
          </cell>
          <cell r="Y295">
            <v>191.73220000000001</v>
          </cell>
          <cell r="Z295">
            <v>1104.2335192973189</v>
          </cell>
          <cell r="AA295">
            <v>1469.0079882527241</v>
          </cell>
          <cell r="AB295">
            <v>609.43994149993705</v>
          </cell>
          <cell r="AC295">
            <v>1457.354666579743</v>
          </cell>
          <cell r="AD295">
            <v>95.673981869101979</v>
          </cell>
          <cell r="AE295">
            <v>1470.8251</v>
          </cell>
          <cell r="AF295">
            <v>94.297595265259559</v>
          </cell>
          <cell r="AG295">
            <v>97.296402422337295</v>
          </cell>
          <cell r="AH295">
            <v>585.12428152613234</v>
          </cell>
          <cell r="AI295">
            <v>55.7119</v>
          </cell>
          <cell r="AJ295">
            <v>54.528799999999997</v>
          </cell>
          <cell r="AK295">
            <v>13.4665</v>
          </cell>
          <cell r="AM295">
            <v>2399.2508509549061</v>
          </cell>
          <cell r="AN295">
            <v>60.684631556420236</v>
          </cell>
          <cell r="AO295">
            <v>488.33980184980356</v>
          </cell>
          <cell r="AQ295">
            <v>2050.4980999999998</v>
          </cell>
          <cell r="AR295">
            <v>120.4858</v>
          </cell>
          <cell r="AS295">
            <v>61.502299999999998</v>
          </cell>
          <cell r="DO295">
            <v>295</v>
          </cell>
        </row>
        <row r="296">
          <cell r="A296" t="str">
            <v>Rockford, IL Metro Area</v>
          </cell>
          <cell r="B296">
            <v>6445.7288228477446</v>
          </cell>
          <cell r="C296">
            <v>5002.3842788481734</v>
          </cell>
          <cell r="D296">
            <v>3631.2593407727977</v>
          </cell>
          <cell r="E296">
            <v>2807.2278381633296</v>
          </cell>
          <cell r="F296">
            <v>1988.0042592296149</v>
          </cell>
          <cell r="G296">
            <v>2232.897388651209</v>
          </cell>
          <cell r="H296">
            <v>1132.3814348001615</v>
          </cell>
          <cell r="I296">
            <v>101.30989541999423</v>
          </cell>
          <cell r="J296">
            <v>917.62290000000007</v>
          </cell>
          <cell r="L296">
            <v>215.41411414228347</v>
          </cell>
          <cell r="M296">
            <v>569.78582315728386</v>
          </cell>
          <cell r="N296">
            <v>1653.5288120522494</v>
          </cell>
          <cell r="O296">
            <v>1306.875312162472</v>
          </cell>
          <cell r="P296">
            <v>633.82560000000001</v>
          </cell>
          <cell r="Q296">
            <v>463.22160000000002</v>
          </cell>
          <cell r="R296">
            <v>51.395600000000002</v>
          </cell>
          <cell r="T296">
            <v>34.150700000000001</v>
          </cell>
          <cell r="DO296">
            <v>296</v>
          </cell>
        </row>
        <row r="297">
          <cell r="A297" t="str">
            <v>Rocky Mount, NC Metro Area</v>
          </cell>
          <cell r="B297">
            <v>2207.3832000000002</v>
          </cell>
          <cell r="C297">
            <v>1078.3530308280915</v>
          </cell>
          <cell r="D297">
            <v>994.30039999999997</v>
          </cell>
          <cell r="E297">
            <v>1159.2842993233817</v>
          </cell>
          <cell r="F297">
            <v>504.07079999999996</v>
          </cell>
          <cell r="G297">
            <v>73.100700000000003</v>
          </cell>
          <cell r="H297">
            <v>146.20848784701838</v>
          </cell>
          <cell r="J297">
            <v>83.416007027884845</v>
          </cell>
          <cell r="K297">
            <v>182.06819999999999</v>
          </cell>
          <cell r="L297">
            <v>66.414299999999997</v>
          </cell>
          <cell r="N297">
            <v>26.677600000000002</v>
          </cell>
          <cell r="O297">
            <v>320.76965688438577</v>
          </cell>
          <cell r="P297">
            <v>49.042000000000002</v>
          </cell>
          <cell r="Q297">
            <v>833.47949999999992</v>
          </cell>
          <cell r="R297">
            <v>141.43439179949181</v>
          </cell>
          <cell r="S297">
            <v>102.6951</v>
          </cell>
          <cell r="T297">
            <v>26.5885</v>
          </cell>
          <cell r="V297">
            <v>116.07470000000001</v>
          </cell>
          <cell r="Y297">
            <v>86.450400000000002</v>
          </cell>
          <cell r="DO297">
            <v>297</v>
          </cell>
        </row>
        <row r="298">
          <cell r="A298" t="str">
            <v>Rome, GA Metro Area</v>
          </cell>
          <cell r="B298">
            <v>2037.1411000000001</v>
          </cell>
          <cell r="C298">
            <v>1232.5137206728973</v>
          </cell>
          <cell r="D298">
            <v>1227.2494454898824</v>
          </cell>
          <cell r="F298">
            <v>939.60035295703278</v>
          </cell>
          <cell r="G298">
            <v>194.69701658434647</v>
          </cell>
          <cell r="H298">
            <v>96.480299999999986</v>
          </cell>
          <cell r="J298">
            <v>140.24815459500093</v>
          </cell>
          <cell r="L298">
            <v>54.994700000000002</v>
          </cell>
          <cell r="N298">
            <v>41.489100000000001</v>
          </cell>
          <cell r="DO298">
            <v>298</v>
          </cell>
        </row>
        <row r="299">
          <cell r="A299" t="str">
            <v>Sacramento--Arden-Arcade--Roseville, CA Metro Area</v>
          </cell>
          <cell r="B299">
            <v>8080.9899960486846</v>
          </cell>
          <cell r="C299">
            <v>6661.8364985213884</v>
          </cell>
          <cell r="D299">
            <v>5361.8554411095556</v>
          </cell>
          <cell r="E299">
            <v>5928.8512964482734</v>
          </cell>
          <cell r="F299">
            <v>7146.5898937452857</v>
          </cell>
          <cell r="G299">
            <v>5529.0475177671906</v>
          </cell>
          <cell r="H299">
            <v>7052.4542735651557</v>
          </cell>
          <cell r="I299">
            <v>6274.5887255401904</v>
          </cell>
          <cell r="J299">
            <v>4996.233664141555</v>
          </cell>
          <cell r="K299">
            <v>5417.1345416843851</v>
          </cell>
          <cell r="L299">
            <v>5517.4431947134544</v>
          </cell>
          <cell r="M299">
            <v>5749.7195890724524</v>
          </cell>
          <cell r="N299">
            <v>5487.1334963910003</v>
          </cell>
          <cell r="O299">
            <v>5044.096778423781</v>
          </cell>
          <cell r="P299">
            <v>4325.0433989892754</v>
          </cell>
          <cell r="Q299">
            <v>5387.0003399150637</v>
          </cell>
          <cell r="R299">
            <v>3727.4768354906405</v>
          </cell>
          <cell r="S299">
            <v>4645.1294671139458</v>
          </cell>
          <cell r="T299">
            <v>3248.17494495145</v>
          </cell>
          <cell r="U299">
            <v>2856.401407722572</v>
          </cell>
          <cell r="V299">
            <v>1444.9946405635126</v>
          </cell>
          <cell r="W299">
            <v>1548.9502014355364</v>
          </cell>
          <cell r="X299">
            <v>377.02117424142483</v>
          </cell>
          <cell r="Y299">
            <v>2211.5611506153555</v>
          </cell>
          <cell r="Z299">
            <v>1261.2539659100403</v>
          </cell>
          <cell r="AA299">
            <v>401.66913144424132</v>
          </cell>
          <cell r="AB299">
            <v>67.554100000000005</v>
          </cell>
          <cell r="AC299">
            <v>1739.5982618403734</v>
          </cell>
          <cell r="AD299">
            <v>764.81012826624885</v>
          </cell>
          <cell r="AE299">
            <v>606.02200000000005</v>
          </cell>
          <cell r="AF299">
            <v>543.35733953084275</v>
          </cell>
          <cell r="AG299">
            <v>494.61745948289092</v>
          </cell>
          <cell r="AH299">
            <v>1937.10531929435</v>
          </cell>
          <cell r="AI299">
            <v>503.56579299873465</v>
          </cell>
          <cell r="AJ299">
            <v>69.131100000000004</v>
          </cell>
          <cell r="AK299">
            <v>312.56259999999997</v>
          </cell>
          <cell r="AL299">
            <v>554.00940000000003</v>
          </cell>
          <cell r="AM299">
            <v>399.21778440366967</v>
          </cell>
          <cell r="AN299">
            <v>450.50459999999998</v>
          </cell>
          <cell r="AO299">
            <v>314.26771055587471</v>
          </cell>
          <cell r="AP299">
            <v>187.28120000000001</v>
          </cell>
          <cell r="AS299">
            <v>142.0874</v>
          </cell>
          <cell r="AT299">
            <v>86.973210029338745</v>
          </cell>
          <cell r="AY299">
            <v>254.61088155936588</v>
          </cell>
          <cell r="BC299">
            <v>21.504000000000001</v>
          </cell>
          <cell r="BR299">
            <v>0.49320000000000003</v>
          </cell>
          <cell r="CC299">
            <v>35.684968229403736</v>
          </cell>
          <cell r="CD299">
            <v>31.101302743484226</v>
          </cell>
          <cell r="CE299">
            <v>457.15</v>
          </cell>
          <cell r="CF299">
            <v>68.37775768553459</v>
          </cell>
          <cell r="CG299">
            <v>1650.6118044925124</v>
          </cell>
          <cell r="CH299">
            <v>2873.1575363089264</v>
          </cell>
          <cell r="CI299">
            <v>1697.5734389502188</v>
          </cell>
          <cell r="CJ299">
            <v>1388.6022</v>
          </cell>
          <cell r="CK299">
            <v>881.75988904146482</v>
          </cell>
          <cell r="CN299">
            <v>226.29679999999999</v>
          </cell>
          <cell r="CO299">
            <v>1362.1626000000001</v>
          </cell>
          <cell r="DO299">
            <v>299</v>
          </cell>
        </row>
        <row r="300">
          <cell r="A300" t="str">
            <v>Saginaw-Saginaw Township North, MI Metro Area</v>
          </cell>
          <cell r="B300">
            <v>4291.37085936729</v>
          </cell>
          <cell r="C300">
            <v>4682.7863842212364</v>
          </cell>
          <cell r="D300">
            <v>2591.7982786034363</v>
          </cell>
          <cell r="E300">
            <v>1818.466949189301</v>
          </cell>
          <cell r="F300">
            <v>1686.4761085195207</v>
          </cell>
          <cell r="G300">
            <v>663.17738192659237</v>
          </cell>
          <cell r="H300">
            <v>170.00089499201917</v>
          </cell>
          <cell r="I300">
            <v>171.37479999999999</v>
          </cell>
          <cell r="J300">
            <v>314.07802513784463</v>
          </cell>
          <cell r="K300">
            <v>56.524700000000003</v>
          </cell>
          <cell r="L300">
            <v>104.6837</v>
          </cell>
          <cell r="M300">
            <v>189.31949673494856</v>
          </cell>
          <cell r="O300">
            <v>96.068400000000011</v>
          </cell>
          <cell r="P300">
            <v>124.60735115135834</v>
          </cell>
          <cell r="R300">
            <v>51.442799999999998</v>
          </cell>
          <cell r="S300">
            <v>53.830399999999997</v>
          </cell>
          <cell r="T300">
            <v>146.2346</v>
          </cell>
          <cell r="U300">
            <v>67.868200000000002</v>
          </cell>
          <cell r="X300">
            <v>50.350700000000003</v>
          </cell>
          <cell r="DO300">
            <v>300</v>
          </cell>
        </row>
        <row r="301">
          <cell r="A301" t="str">
            <v>St. Cloud, MN Metro Area</v>
          </cell>
          <cell r="B301">
            <v>4122.7905845044788</v>
          </cell>
          <cell r="C301">
            <v>3625.4857629985117</v>
          </cell>
          <cell r="D301">
            <v>809.47855302094683</v>
          </cell>
          <cell r="E301">
            <v>1338.6057612674333</v>
          </cell>
          <cell r="F301">
            <v>453.16866097377147</v>
          </cell>
          <cell r="G301">
            <v>34.4895</v>
          </cell>
          <cell r="H301">
            <v>329.52942835434089</v>
          </cell>
          <cell r="I301">
            <v>374.38029999999998</v>
          </cell>
          <cell r="L301">
            <v>89.642019939257892</v>
          </cell>
          <cell r="O301">
            <v>21.667999999999999</v>
          </cell>
          <cell r="P301">
            <v>60.601492842626151</v>
          </cell>
          <cell r="Q301">
            <v>104.46039362496664</v>
          </cell>
          <cell r="V301">
            <v>46.894678856382981</v>
          </cell>
          <cell r="W301">
            <v>39.069699999999997</v>
          </cell>
          <cell r="AE301">
            <v>32.382800000000003</v>
          </cell>
          <cell r="AF301">
            <v>113.70670000000001</v>
          </cell>
          <cell r="AI301">
            <v>84.913600000000002</v>
          </cell>
          <cell r="AP301">
            <v>30.437635111341272</v>
          </cell>
          <cell r="DO301">
            <v>301</v>
          </cell>
        </row>
        <row r="302">
          <cell r="A302" t="str">
            <v>St. George, UT Metro Area</v>
          </cell>
          <cell r="B302">
            <v>4915.351831180812</v>
          </cell>
          <cell r="C302">
            <v>925.15528262023577</v>
          </cell>
          <cell r="D302">
            <v>1327.9699964442043</v>
          </cell>
          <cell r="E302">
            <v>458.07752687224666</v>
          </cell>
          <cell r="F302">
            <v>254.80989969655658</v>
          </cell>
          <cell r="H302">
            <v>80.4756</v>
          </cell>
          <cell r="P302">
            <v>60.709499999999991</v>
          </cell>
          <cell r="R302">
            <v>68.878699999999995</v>
          </cell>
          <cell r="T302">
            <v>174.72579999999999</v>
          </cell>
          <cell r="Z302">
            <v>7.4537000000000004</v>
          </cell>
          <cell r="AD302">
            <v>4.3322000000000003</v>
          </cell>
          <cell r="DO302">
            <v>302</v>
          </cell>
        </row>
        <row r="303">
          <cell r="A303" t="str">
            <v>St. Joseph, MO-KS Metro Area</v>
          </cell>
          <cell r="B303">
            <v>4447.0134868167879</v>
          </cell>
          <cell r="C303">
            <v>3248.0944478134638</v>
          </cell>
          <cell r="D303">
            <v>2154.6278279125654</v>
          </cell>
          <cell r="E303">
            <v>1638.7384874691334</v>
          </cell>
          <cell r="F303">
            <v>655.74928321983111</v>
          </cell>
          <cell r="G303">
            <v>79.366200000000006</v>
          </cell>
          <cell r="K303">
            <v>35.267961066878982</v>
          </cell>
          <cell r="L303">
            <v>29.472200000000001</v>
          </cell>
          <cell r="M303">
            <v>157.875</v>
          </cell>
          <cell r="O303">
            <v>17.0518</v>
          </cell>
          <cell r="P303">
            <v>15.5525</v>
          </cell>
          <cell r="R303">
            <v>15.5169</v>
          </cell>
          <cell r="T303">
            <v>19.326000000000001</v>
          </cell>
          <cell r="X303">
            <v>14.128200000000001</v>
          </cell>
          <cell r="AG303">
            <v>42.977800000000002</v>
          </cell>
          <cell r="DO303">
            <v>303</v>
          </cell>
        </row>
        <row r="304">
          <cell r="A304" t="str">
            <v>St. Louis, MO-IL Metro Area</v>
          </cell>
          <cell r="B304">
            <v>3869.8217159826468</v>
          </cell>
          <cell r="C304">
            <v>5472.8875896303452</v>
          </cell>
          <cell r="D304">
            <v>7725.9284956430201</v>
          </cell>
          <cell r="E304">
            <v>8608.866108624803</v>
          </cell>
          <cell r="F304">
            <v>6379.4885547466456</v>
          </cell>
          <cell r="G304">
            <v>5979.4839783744528</v>
          </cell>
          <cell r="H304">
            <v>6221.6984032640376</v>
          </cell>
          <cell r="I304">
            <v>4397.1190538443807</v>
          </cell>
          <cell r="J304">
            <v>3934.7677260314504</v>
          </cell>
          <cell r="K304">
            <v>3240.0189672712027</v>
          </cell>
          <cell r="L304">
            <v>2971.6309337855505</v>
          </cell>
          <cell r="M304">
            <v>3493.299220010319</v>
          </cell>
          <cell r="N304">
            <v>2984.0545706002399</v>
          </cell>
          <cell r="O304">
            <v>2087.4236156395536</v>
          </cell>
          <cell r="P304">
            <v>2755.6271701249652</v>
          </cell>
          <cell r="Q304">
            <v>2411.4123665676184</v>
          </cell>
          <cell r="R304">
            <v>1659.4648239316862</v>
          </cell>
          <cell r="S304">
            <v>2503.6553788822307</v>
          </cell>
          <cell r="T304">
            <v>2397.1345585056415</v>
          </cell>
          <cell r="U304">
            <v>2354.5021081752643</v>
          </cell>
          <cell r="V304">
            <v>2070.6273485383654</v>
          </cell>
          <cell r="W304">
            <v>1560.710406190256</v>
          </cell>
          <cell r="X304">
            <v>2204.8902198569763</v>
          </cell>
          <cell r="Y304">
            <v>1965.3359536218445</v>
          </cell>
          <cell r="Z304">
            <v>2665.0626966559489</v>
          </cell>
          <cell r="AA304">
            <v>997.17666628452787</v>
          </cell>
          <cell r="AB304">
            <v>649.48193985129706</v>
          </cell>
          <cell r="AC304">
            <v>1734.5404544320193</v>
          </cell>
          <cell r="AD304">
            <v>1054.6905447914962</v>
          </cell>
          <cell r="AE304">
            <v>1395.5153826040726</v>
          </cell>
          <cell r="AF304">
            <v>1543.0578238952796</v>
          </cell>
          <cell r="AG304">
            <v>821.81870755867374</v>
          </cell>
          <cell r="AH304">
            <v>420.34026326862261</v>
          </cell>
          <cell r="AI304">
            <v>343.52749999999997</v>
          </cell>
          <cell r="AJ304">
            <v>701.19130154622565</v>
          </cell>
          <cell r="AK304">
            <v>46.556259501867991</v>
          </cell>
          <cell r="AL304">
            <v>91.962588009912309</v>
          </cell>
          <cell r="AM304">
            <v>285.87449771428572</v>
          </cell>
          <cell r="AN304">
            <v>277.68426457938716</v>
          </cell>
          <cell r="AO304">
            <v>246.6420191621886</v>
          </cell>
          <cell r="AP304">
            <v>252.94669664454275</v>
          </cell>
          <cell r="AQ304">
            <v>44.749833432835821</v>
          </cell>
          <cell r="AR304">
            <v>16.8751</v>
          </cell>
          <cell r="AS304">
            <v>690.54712038930541</v>
          </cell>
          <cell r="AT304">
            <v>62.840320949510172</v>
          </cell>
          <cell r="AU304">
            <v>275.50841492108611</v>
          </cell>
          <cell r="AV304">
            <v>578.19593429779661</v>
          </cell>
          <cell r="AW304">
            <v>113.56709999999998</v>
          </cell>
          <cell r="AX304">
            <v>557.63341325977058</v>
          </cell>
          <cell r="AY304">
            <v>33.849829627876147</v>
          </cell>
          <cell r="AZ304">
            <v>39.942239795443975</v>
          </cell>
          <cell r="BA304">
            <v>43.190081414141417</v>
          </cell>
          <cell r="BB304">
            <v>187.3083320287019</v>
          </cell>
          <cell r="BC304">
            <v>48.119099999999996</v>
          </cell>
          <cell r="BD304">
            <v>78.29508057477814</v>
          </cell>
          <cell r="BE304">
            <v>31.702604663774405</v>
          </cell>
          <cell r="BF304">
            <v>163.65408079385404</v>
          </cell>
          <cell r="BG304">
            <v>50.873815340909097</v>
          </cell>
          <cell r="BH304">
            <v>285.1705</v>
          </cell>
          <cell r="BI304">
            <v>101.59690000000002</v>
          </cell>
          <cell r="BK304">
            <v>64.983900000000006</v>
          </cell>
          <cell r="BN304">
            <v>715.09479999999996</v>
          </cell>
          <cell r="BO304">
            <v>15.3344</v>
          </cell>
          <cell r="DO304">
            <v>304</v>
          </cell>
        </row>
        <row r="305">
          <cell r="A305" t="str">
            <v>Salem, OR Metro Area</v>
          </cell>
          <cell r="B305">
            <v>2915.5432000000001</v>
          </cell>
          <cell r="C305">
            <v>4222.9558233867756</v>
          </cell>
          <cell r="D305">
            <v>4348.2396361631072</v>
          </cell>
          <cell r="E305">
            <v>4294.5011664353751</v>
          </cell>
          <cell r="F305">
            <v>2988.6178513223158</v>
          </cell>
          <cell r="G305">
            <v>3490.3753000000002</v>
          </cell>
          <cell r="H305">
            <v>1429.6358258545577</v>
          </cell>
          <cell r="I305">
            <v>107.08759999999999</v>
          </cell>
          <cell r="J305">
            <v>56.414900000000003</v>
          </cell>
          <cell r="L305">
            <v>784.70152400487416</v>
          </cell>
          <cell r="N305">
            <v>239.27506032162785</v>
          </cell>
          <cell r="O305">
            <v>981.13474634024487</v>
          </cell>
          <cell r="P305">
            <v>151.13680725552052</v>
          </cell>
          <cell r="Q305">
            <v>807.43050971968819</v>
          </cell>
          <cell r="R305">
            <v>2887.9571687589819</v>
          </cell>
          <cell r="S305">
            <v>1094.5861171598965</v>
          </cell>
          <cell r="T305">
            <v>36.834800000000001</v>
          </cell>
          <cell r="W305">
            <v>145.89764979103981</v>
          </cell>
          <cell r="X305">
            <v>109.4735</v>
          </cell>
          <cell r="AG305">
            <v>6.2798999999999996</v>
          </cell>
          <cell r="DO305">
            <v>305</v>
          </cell>
        </row>
        <row r="306">
          <cell r="A306" t="str">
            <v>Salinas, CA Metro Area</v>
          </cell>
          <cell r="B306">
            <v>8501.9411671060043</v>
          </cell>
          <cell r="C306">
            <v>8449.0013808490439</v>
          </cell>
          <cell r="D306">
            <v>15732.716092687444</v>
          </cell>
          <cell r="E306">
            <v>10040.92059627347</v>
          </cell>
          <cell r="F306">
            <v>477.41520000000003</v>
          </cell>
          <cell r="G306">
            <v>334.75130000000001</v>
          </cell>
          <cell r="H306">
            <v>830.23904841620958</v>
          </cell>
          <cell r="I306">
            <v>4587.4829205567949</v>
          </cell>
          <cell r="J306">
            <v>2544.6695919290846</v>
          </cell>
          <cell r="K306">
            <v>419.95716764224511</v>
          </cell>
          <cell r="L306">
            <v>10254.182060947307</v>
          </cell>
          <cell r="M306">
            <v>9583.0264296887817</v>
          </cell>
          <cell r="N306">
            <v>1819.9241894867548</v>
          </cell>
          <cell r="O306">
            <v>1247.6330393618332</v>
          </cell>
          <cell r="P306">
            <v>3316.9272482488582</v>
          </cell>
          <cell r="Q306">
            <v>4352.9386566424428</v>
          </cell>
          <cell r="R306">
            <v>1342.9297595316102</v>
          </cell>
          <cell r="S306">
            <v>1554.4148481138966</v>
          </cell>
          <cell r="V306">
            <v>8078.4269000000004</v>
          </cell>
          <cell r="Z306">
            <v>156.65480000000002</v>
          </cell>
          <cell r="AA306">
            <v>30.787299999999998</v>
          </cell>
          <cell r="AD306">
            <v>5.7805000000000009</v>
          </cell>
          <cell r="AI306">
            <v>5600.4080953486709</v>
          </cell>
          <cell r="AS306">
            <v>2606.5407315704915</v>
          </cell>
          <cell r="BM306">
            <v>2.3921000000000001</v>
          </cell>
          <cell r="DO306">
            <v>306</v>
          </cell>
        </row>
        <row r="307">
          <cell r="A307" t="str">
            <v>Salisbury, MD Metro Area</v>
          </cell>
          <cell r="B307">
            <v>4330.3284261144818</v>
          </cell>
          <cell r="C307">
            <v>2360.9849525756235</v>
          </cell>
          <cell r="D307">
            <v>833.03203629450229</v>
          </cell>
          <cell r="E307">
            <v>842.24959999999999</v>
          </cell>
          <cell r="F307">
            <v>213.83704587876144</v>
          </cell>
          <cell r="I307">
            <v>64.692499999999995</v>
          </cell>
          <cell r="J307">
            <v>53.011999999999993</v>
          </cell>
          <cell r="L307">
            <v>104.96998348712967</v>
          </cell>
          <cell r="M307">
            <v>109.49522114870881</v>
          </cell>
          <cell r="Q307">
            <v>537.32259999999997</v>
          </cell>
          <cell r="T307">
            <v>29.751799999999999</v>
          </cell>
          <cell r="X307">
            <v>42.718299999999999</v>
          </cell>
          <cell r="AB307">
            <v>58.482200000000006</v>
          </cell>
          <cell r="AE307">
            <v>425.8245</v>
          </cell>
          <cell r="DO307">
            <v>307</v>
          </cell>
        </row>
        <row r="308">
          <cell r="A308" t="str">
            <v>Salt Lake City, UT Metro Area</v>
          </cell>
          <cell r="B308">
            <v>9171.8075752561035</v>
          </cell>
          <cell r="C308">
            <v>7233.608079129438</v>
          </cell>
          <cell r="D308">
            <v>6321.9354839911584</v>
          </cell>
          <cell r="E308">
            <v>6013.9933491869588</v>
          </cell>
          <cell r="F308">
            <v>4926.3883503576808</v>
          </cell>
          <cell r="G308">
            <v>6108.7115284312958</v>
          </cell>
          <cell r="H308">
            <v>4918.405677495005</v>
          </cell>
          <cell r="I308">
            <v>4855.5001039950566</v>
          </cell>
          <cell r="J308">
            <v>5072.3737933288758</v>
          </cell>
          <cell r="K308">
            <v>5732.0815825229602</v>
          </cell>
          <cell r="L308">
            <v>5130.7841411680065</v>
          </cell>
          <cell r="M308">
            <v>4808.0077855964491</v>
          </cell>
          <cell r="N308">
            <v>2986.8300005849851</v>
          </cell>
          <cell r="O308">
            <v>4429.8605340376471</v>
          </cell>
          <cell r="P308">
            <v>3440.0454821259868</v>
          </cell>
          <cell r="Q308">
            <v>1800.4990341814012</v>
          </cell>
          <cell r="R308">
            <v>1940.7557009750035</v>
          </cell>
          <cell r="S308">
            <v>2572.9246182325164</v>
          </cell>
          <cell r="T308">
            <v>664.30902503397999</v>
          </cell>
          <cell r="U308">
            <v>381.53351077262334</v>
          </cell>
          <cell r="V308">
            <v>293.36176113989637</v>
          </cell>
          <cell r="W308">
            <v>287.65839954611101</v>
          </cell>
          <cell r="X308">
            <v>32.408999999999999</v>
          </cell>
          <cell r="Z308">
            <v>200.27169999999998</v>
          </cell>
          <cell r="AA308">
            <v>3318.7809449203187</v>
          </cell>
          <cell r="AB308">
            <v>1805.6988342284933</v>
          </cell>
          <cell r="AC308">
            <v>1537.2040687996091</v>
          </cell>
          <cell r="AF308">
            <v>0</v>
          </cell>
          <cell r="AG308">
            <v>11.804904890604892</v>
          </cell>
          <cell r="AH308">
            <v>465.09299999999996</v>
          </cell>
          <cell r="AI308">
            <v>37.732900000000001</v>
          </cell>
          <cell r="AT308">
            <v>0.12640000000000001</v>
          </cell>
          <cell r="CK308">
            <v>0.69330000000000003</v>
          </cell>
          <cell r="DO308">
            <v>308</v>
          </cell>
        </row>
        <row r="309">
          <cell r="A309" t="str">
            <v>San Angelo, TX Metro Area</v>
          </cell>
          <cell r="B309">
            <v>1767.5778130221129</v>
          </cell>
          <cell r="C309">
            <v>3179.0781534212538</v>
          </cell>
          <cell r="D309">
            <v>1952.2251132177767</v>
          </cell>
          <cell r="E309">
            <v>2275.040952677236</v>
          </cell>
          <cell r="F309">
            <v>2685.0698816867471</v>
          </cell>
          <cell r="H309">
            <v>142.2199</v>
          </cell>
          <cell r="I309">
            <v>8.3933</v>
          </cell>
          <cell r="J309">
            <v>6.9303970581778263</v>
          </cell>
          <cell r="K309">
            <v>179.53759999999997</v>
          </cell>
          <cell r="AC309">
            <v>1.6766000000000001</v>
          </cell>
          <cell r="DO309">
            <v>309</v>
          </cell>
        </row>
        <row r="310">
          <cell r="A310" t="str">
            <v>San Antonio-New Braunfels, TX Metro Area</v>
          </cell>
          <cell r="B310">
            <v>6094.9357138957002</v>
          </cell>
          <cell r="C310">
            <v>6312.2516847447996</v>
          </cell>
          <cell r="D310">
            <v>6572.564752605068</v>
          </cell>
          <cell r="E310">
            <v>6396.1294226549153</v>
          </cell>
          <cell r="F310">
            <v>5034.4740510333395</v>
          </cell>
          <cell r="G310">
            <v>4634.1808153927341</v>
          </cell>
          <cell r="H310">
            <v>3764.3576606236115</v>
          </cell>
          <cell r="I310">
            <v>3773.3418092631155</v>
          </cell>
          <cell r="J310">
            <v>5105.1585867756094</v>
          </cell>
          <cell r="K310">
            <v>3012.849349045041</v>
          </cell>
          <cell r="L310">
            <v>4039.769634067633</v>
          </cell>
          <cell r="M310">
            <v>3448.8674032586819</v>
          </cell>
          <cell r="N310">
            <v>4946.7847468489817</v>
          </cell>
          <cell r="O310">
            <v>2349.6453879575038</v>
          </cell>
          <cell r="P310">
            <v>1332.9207045370954</v>
          </cell>
          <cell r="Q310">
            <v>1212.0217166509642</v>
          </cell>
          <cell r="R310">
            <v>740.29569821248128</v>
          </cell>
          <cell r="S310">
            <v>1197.4133207388356</v>
          </cell>
          <cell r="T310">
            <v>485.57411502301119</v>
          </cell>
          <cell r="U310">
            <v>132.2224465582178</v>
          </cell>
          <cell r="V310">
            <v>270.44293517587937</v>
          </cell>
          <cell r="W310">
            <v>86.771984162808636</v>
          </cell>
          <cell r="X310">
            <v>160.19030301225919</v>
          </cell>
          <cell r="Y310">
            <v>117.60828276401401</v>
          </cell>
          <cell r="Z310">
            <v>91.384961666272943</v>
          </cell>
          <cell r="AA310">
            <v>73.755839732588313</v>
          </cell>
          <cell r="AB310">
            <v>132.26349999999999</v>
          </cell>
          <cell r="AC310">
            <v>818.45109517650246</v>
          </cell>
          <cell r="AD310">
            <v>1172.9364568757935</v>
          </cell>
          <cell r="AE310">
            <v>734.05094221850095</v>
          </cell>
          <cell r="AF310">
            <v>757.35946449050505</v>
          </cell>
          <cell r="AG310">
            <v>235.10514590103494</v>
          </cell>
          <cell r="AH310">
            <v>1792.7452955499582</v>
          </cell>
          <cell r="AI310">
            <v>1369.5853444814256</v>
          </cell>
          <cell r="AJ310">
            <v>890.31544318559713</v>
          </cell>
          <cell r="AK310">
            <v>62.785887938563476</v>
          </cell>
          <cell r="AL310">
            <v>37.714664673147837</v>
          </cell>
          <cell r="AM310">
            <v>88.344899999999996</v>
          </cell>
          <cell r="AN310">
            <v>29.551197386429219</v>
          </cell>
          <cell r="AO310">
            <v>25.033599828067914</v>
          </cell>
          <cell r="AP310">
            <v>24.245789651943191</v>
          </cell>
          <cell r="AR310">
            <v>13.5098</v>
          </cell>
          <cell r="AS310">
            <v>21.892299999999999</v>
          </cell>
          <cell r="AT310">
            <v>231.3749</v>
          </cell>
          <cell r="AW310">
            <v>3.6201999999999996</v>
          </cell>
          <cell r="BE310">
            <v>5.1344000000000003</v>
          </cell>
          <cell r="DO310">
            <v>310</v>
          </cell>
        </row>
        <row r="311">
          <cell r="A311" t="str">
            <v>San Diego-Carlsbad-San Marcos, CA Metro Area</v>
          </cell>
          <cell r="B311">
            <v>10213.347555596916</v>
          </cell>
          <cell r="C311">
            <v>14387.837112181332</v>
          </cell>
          <cell r="D311">
            <v>10997.194380222394</v>
          </cell>
          <cell r="E311">
            <v>13143.284983684587</v>
          </cell>
          <cell r="F311">
            <v>14106.218744102664</v>
          </cell>
          <cell r="G311">
            <v>9749.0725818089504</v>
          </cell>
          <cell r="H311">
            <v>7697.7809268491401</v>
          </cell>
          <cell r="I311">
            <v>8374.7404858668051</v>
          </cell>
          <cell r="J311">
            <v>6344.0232473541746</v>
          </cell>
          <cell r="K311">
            <v>6118.5921379351084</v>
          </cell>
          <cell r="L311">
            <v>8828.776013213761</v>
          </cell>
          <cell r="M311">
            <v>6921.1414543104092</v>
          </cell>
          <cell r="N311">
            <v>7176.9254142953178</v>
          </cell>
          <cell r="O311">
            <v>7688.3836167727131</v>
          </cell>
          <cell r="P311">
            <v>6415.5227551553253</v>
          </cell>
          <cell r="Q311">
            <v>4181.3923163429608</v>
          </cell>
          <cell r="R311">
            <v>4774.8317855790119</v>
          </cell>
          <cell r="S311">
            <v>3021.4084032045503</v>
          </cell>
          <cell r="T311">
            <v>3231.4531201295408</v>
          </cell>
          <cell r="U311">
            <v>3287.9098454537443</v>
          </cell>
          <cell r="V311">
            <v>1988.620170921442</v>
          </cell>
          <cell r="W311">
            <v>1210.0519107646442</v>
          </cell>
          <cell r="X311">
            <v>4220.8299441201179</v>
          </cell>
          <cell r="Y311">
            <v>4266.4443201690437</v>
          </cell>
          <cell r="Z311">
            <v>1778.2218415620077</v>
          </cell>
          <cell r="AA311">
            <v>2567.8825200596893</v>
          </cell>
          <cell r="AB311">
            <v>4041.9864447818381</v>
          </cell>
          <cell r="AC311">
            <v>3562.055116002437</v>
          </cell>
          <cell r="AD311">
            <v>3415.450593707561</v>
          </cell>
          <cell r="AE311">
            <v>10968.584398027095</v>
          </cell>
          <cell r="AF311">
            <v>4298.1514290021614</v>
          </cell>
          <cell r="AG311">
            <v>2126.1724706772698</v>
          </cell>
          <cell r="AH311">
            <v>5300.3609520025902</v>
          </cell>
          <cell r="AI311">
            <v>5590.1121624979969</v>
          </cell>
          <cell r="AJ311">
            <v>9156.9767477377663</v>
          </cell>
          <cell r="AK311">
            <v>5615.9918021675403</v>
          </cell>
          <cell r="AL311">
            <v>4189.7902711615397</v>
          </cell>
          <cell r="AM311">
            <v>4972.5683549523274</v>
          </cell>
          <cell r="AN311">
            <v>4053.3272849130967</v>
          </cell>
          <cell r="AO311">
            <v>385.46767166947723</v>
          </cell>
          <cell r="AP311">
            <v>55.10410000000001</v>
          </cell>
          <cell r="AR311">
            <v>193.11743732725671</v>
          </cell>
          <cell r="AS311">
            <v>210.580647677011</v>
          </cell>
          <cell r="AU311">
            <v>4723.6458296144383</v>
          </cell>
          <cell r="AV311">
            <v>3595.05747520267</v>
          </cell>
          <cell r="AW311">
            <v>62.207389391143913</v>
          </cell>
          <cell r="BG311">
            <v>3.0082999999999998</v>
          </cell>
          <cell r="DO311">
            <v>311</v>
          </cell>
        </row>
        <row r="312">
          <cell r="A312" t="str">
            <v>Sandusky, OH Metro Area</v>
          </cell>
          <cell r="B312">
            <v>4993.388544569144</v>
          </cell>
          <cell r="C312">
            <v>5101.7037546249039</v>
          </cell>
          <cell r="D312">
            <v>1684.6727892877173</v>
          </cell>
          <cell r="E312">
            <v>480.74116117478513</v>
          </cell>
          <cell r="H312">
            <v>211.66919999999999</v>
          </cell>
          <cell r="I312">
            <v>2466.4216999999999</v>
          </cell>
          <cell r="J312">
            <v>267.32260000000002</v>
          </cell>
          <cell r="K312">
            <v>81.169499999999999</v>
          </cell>
          <cell r="Q312">
            <v>110.02209999999999</v>
          </cell>
          <cell r="R312">
            <v>229.7107</v>
          </cell>
          <cell r="S312">
            <v>1452.3233</v>
          </cell>
          <cell r="DO312">
            <v>312</v>
          </cell>
        </row>
        <row r="313">
          <cell r="A313" t="str">
            <v>San Francisco-Oakland-Fremont, CA Metro Area</v>
          </cell>
          <cell r="B313">
            <v>57832.698183006425</v>
          </cell>
          <cell r="C313">
            <v>34566.47412870785</v>
          </cell>
          <cell r="D313">
            <v>22612.239059962183</v>
          </cell>
          <cell r="E313">
            <v>21265.509682768388</v>
          </cell>
          <cell r="F313">
            <v>20843.137943344205</v>
          </cell>
          <cell r="G313">
            <v>18175.948755224937</v>
          </cell>
          <cell r="H313">
            <v>13831.635804510594</v>
          </cell>
          <cell r="I313">
            <v>10373.399254017351</v>
          </cell>
          <cell r="J313">
            <v>12319.705900836829</v>
          </cell>
          <cell r="K313">
            <v>15427.019838444889</v>
          </cell>
          <cell r="L313">
            <v>12638.463911042438</v>
          </cell>
          <cell r="M313">
            <v>14620.901911761872</v>
          </cell>
          <cell r="N313">
            <v>9565.2636007371966</v>
          </cell>
          <cell r="O313">
            <v>11771.271555410474</v>
          </cell>
          <cell r="P313">
            <v>6741.6077485488195</v>
          </cell>
          <cell r="Q313">
            <v>5987.5195993552252</v>
          </cell>
          <cell r="R313">
            <v>5125.4274117646464</v>
          </cell>
          <cell r="S313">
            <v>6454.080845226983</v>
          </cell>
          <cell r="T313">
            <v>7313.1129329522582</v>
          </cell>
          <cell r="U313">
            <v>5265.4331798188714</v>
          </cell>
          <cell r="V313">
            <v>6708.7280456742019</v>
          </cell>
          <cell r="W313">
            <v>6403.8224115155681</v>
          </cell>
          <cell r="X313">
            <v>4539.0258753658536</v>
          </cell>
          <cell r="Y313">
            <v>8092.3179866432483</v>
          </cell>
          <cell r="Z313">
            <v>7449.5805077885152</v>
          </cell>
          <cell r="AA313">
            <v>5377.3383131258388</v>
          </cell>
          <cell r="AB313">
            <v>7632.1251512125555</v>
          </cell>
          <cell r="AC313">
            <v>6024.0853746585617</v>
          </cell>
          <cell r="AD313">
            <v>4425.4786935033699</v>
          </cell>
          <cell r="AE313">
            <v>5441.7406348053264</v>
          </cell>
          <cell r="AF313">
            <v>5649.8559880704324</v>
          </cell>
          <cell r="AG313">
            <v>4310.8468103311097</v>
          </cell>
          <cell r="AH313">
            <v>3831.5511017897657</v>
          </cell>
          <cell r="AI313">
            <v>4755.5040108631492</v>
          </cell>
          <cell r="AJ313">
            <v>2681.5566336009369</v>
          </cell>
          <cell r="AK313">
            <v>7522.8095995201247</v>
          </cell>
          <cell r="AL313">
            <v>3826.3702402969398</v>
          </cell>
          <cell r="AM313">
            <v>4591.8463720585141</v>
          </cell>
          <cell r="AN313">
            <v>3462.3428763722618</v>
          </cell>
          <cell r="AO313">
            <v>1366.9168729489386</v>
          </cell>
          <cell r="AP313">
            <v>3500.1877974151289</v>
          </cell>
          <cell r="AQ313">
            <v>1731.0419812241141</v>
          </cell>
          <cell r="AR313">
            <v>450.12349999999992</v>
          </cell>
          <cell r="AS313">
            <v>42.816200000000002</v>
          </cell>
          <cell r="AT313">
            <v>104.7897</v>
          </cell>
          <cell r="AU313">
            <v>1786.7969685367632</v>
          </cell>
          <cell r="DO313">
            <v>313</v>
          </cell>
        </row>
        <row r="314">
          <cell r="A314" t="str">
            <v>San Jose-Sunnyvale-Santa Clara, CA Metro Area</v>
          </cell>
          <cell r="B314">
            <v>16919.386604976957</v>
          </cell>
          <cell r="C314">
            <v>10698.591153493469</v>
          </cell>
          <cell r="D314">
            <v>11685.139056726943</v>
          </cell>
          <cell r="E314">
            <v>10065.103672967602</v>
          </cell>
          <cell r="F314">
            <v>10100.233251335801</v>
          </cell>
          <cell r="G314">
            <v>8784.9954134983964</v>
          </cell>
          <cell r="H314">
            <v>8693.2747971163863</v>
          </cell>
          <cell r="I314">
            <v>7307.4700599038442</v>
          </cell>
          <cell r="J314">
            <v>6607.1132255147595</v>
          </cell>
          <cell r="K314">
            <v>5357.8891611281433</v>
          </cell>
          <cell r="L314">
            <v>5101.553512870918</v>
          </cell>
          <cell r="M314">
            <v>7078.8029239656462</v>
          </cell>
          <cell r="N314">
            <v>9350.8122555278151</v>
          </cell>
          <cell r="O314">
            <v>4530.5955210169095</v>
          </cell>
          <cell r="P314">
            <v>7313.4973860081564</v>
          </cell>
          <cell r="Q314">
            <v>5087.2195639073607</v>
          </cell>
          <cell r="R314">
            <v>7095.8708925846795</v>
          </cell>
          <cell r="S314">
            <v>2097.1100999999999</v>
          </cell>
          <cell r="T314">
            <v>2371.4692139330582</v>
          </cell>
          <cell r="U314">
            <v>2767.2598288125773</v>
          </cell>
          <cell r="V314">
            <v>1475.3826184886195</v>
          </cell>
          <cell r="W314">
            <v>2969.3835999999997</v>
          </cell>
          <cell r="Y314">
            <v>163.22597129959311</v>
          </cell>
          <cell r="Z314">
            <v>270.73680000000002</v>
          </cell>
          <cell r="AB314">
            <v>1205.6493</v>
          </cell>
          <cell r="AC314">
            <v>6368.0570030547897</v>
          </cell>
          <cell r="AD314">
            <v>5414.5999417008352</v>
          </cell>
          <cell r="AE314">
            <v>1090.2910259825328</v>
          </cell>
          <cell r="AN314">
            <v>82.029499999999999</v>
          </cell>
          <cell r="AP314">
            <v>33.644100000000002</v>
          </cell>
          <cell r="AR314">
            <v>3554.0919032374568</v>
          </cell>
          <cell r="AS314">
            <v>4630.1460581675919</v>
          </cell>
          <cell r="AT314">
            <v>5150.9372572472876</v>
          </cell>
          <cell r="AV314">
            <v>867.97370000000001</v>
          </cell>
          <cell r="BC314">
            <v>2.1673</v>
          </cell>
          <cell r="DO314">
            <v>314</v>
          </cell>
        </row>
        <row r="315">
          <cell r="A315" t="str">
            <v>San Luis Obispo-Paso Robles, CA Metro Area</v>
          </cell>
          <cell r="B315">
            <v>5194.8325741069793</v>
          </cell>
          <cell r="C315">
            <v>1232.6462840364334</v>
          </cell>
          <cell r="D315">
            <v>1499.8250169966284</v>
          </cell>
          <cell r="E315">
            <v>13374.155699999999</v>
          </cell>
          <cell r="G315">
            <v>60.232399999999998</v>
          </cell>
          <cell r="J315">
            <v>2943.4086000000002</v>
          </cell>
          <cell r="K315">
            <v>1309.3334676863317</v>
          </cell>
          <cell r="L315">
            <v>3018.8620747821246</v>
          </cell>
          <cell r="M315">
            <v>3244.0074700957821</v>
          </cell>
          <cell r="N315">
            <v>2930.2708377293025</v>
          </cell>
          <cell r="O315">
            <v>1673.8490695124797</v>
          </cell>
          <cell r="P315">
            <v>2667.0835999999999</v>
          </cell>
          <cell r="Q315">
            <v>1455.1169</v>
          </cell>
          <cell r="R315">
            <v>358.72445201425643</v>
          </cell>
          <cell r="S315">
            <v>132.05141100790354</v>
          </cell>
          <cell r="T315">
            <v>6.6730999999999998</v>
          </cell>
          <cell r="U315">
            <v>1154.5396000000001</v>
          </cell>
          <cell r="V315">
            <v>1188.3049000000001</v>
          </cell>
          <cell r="X315">
            <v>1893.6851217295714</v>
          </cell>
          <cell r="Y315">
            <v>4457.1266999999998</v>
          </cell>
          <cell r="Z315">
            <v>1773.8722081996436</v>
          </cell>
          <cell r="AA315">
            <v>12.261900000000001</v>
          </cell>
          <cell r="AE315">
            <v>37.991500000000002</v>
          </cell>
          <cell r="AF315">
            <v>752.82560000000001</v>
          </cell>
          <cell r="AG315">
            <v>499.72640000000001</v>
          </cell>
          <cell r="AI315">
            <v>14.118499999999999</v>
          </cell>
          <cell r="DO315">
            <v>315</v>
          </cell>
        </row>
        <row r="316">
          <cell r="A316" t="str">
            <v>Santa Barbara-Santa Maria-Goleta, CA Metro Area</v>
          </cell>
          <cell r="B316">
            <v>13488.680736532182</v>
          </cell>
          <cell r="C316">
            <v>7193.5244021801573</v>
          </cell>
          <cell r="D316">
            <v>2527.7151094163587</v>
          </cell>
          <cell r="E316">
            <v>4102.872441057405</v>
          </cell>
          <cell r="F316">
            <v>2039.4504705234815</v>
          </cell>
          <cell r="G316">
            <v>4519.3031569479972</v>
          </cell>
          <cell r="H316">
            <v>3778.0042000000003</v>
          </cell>
          <cell r="I316">
            <v>2836.4836973859278</v>
          </cell>
          <cell r="J316">
            <v>1225.4219023761491</v>
          </cell>
          <cell r="K316">
            <v>21560.927269449247</v>
          </cell>
          <cell r="L316">
            <v>4713.3835848443687</v>
          </cell>
          <cell r="M316">
            <v>1297.2062000000001</v>
          </cell>
          <cell r="O316">
            <v>29.239899999999999</v>
          </cell>
          <cell r="Z316">
            <v>60.1008</v>
          </cell>
          <cell r="AC316">
            <v>26.7059</v>
          </cell>
          <cell r="AD316">
            <v>646.98509999999999</v>
          </cell>
          <cell r="AF316">
            <v>2.0500000000000001E-2</v>
          </cell>
          <cell r="AI316">
            <v>32.212017552631579</v>
          </cell>
          <cell r="AT316">
            <v>16.393599999999999</v>
          </cell>
          <cell r="AU316">
            <v>6551.140743793494</v>
          </cell>
          <cell r="AV316">
            <v>8036.7916177108209</v>
          </cell>
          <cell r="AW316">
            <v>2327.6491000000001</v>
          </cell>
          <cell r="AX316">
            <v>503.38409999999999</v>
          </cell>
          <cell r="AY316">
            <v>337.54171221774897</v>
          </cell>
          <cell r="BA316">
            <v>3510.7153763005781</v>
          </cell>
          <cell r="BB316">
            <v>2770.2954332244517</v>
          </cell>
          <cell r="BC316">
            <v>2258.4640666784076</v>
          </cell>
          <cell r="BD316">
            <v>1636.3676709012541</v>
          </cell>
          <cell r="BE316">
            <v>6414.6636554692823</v>
          </cell>
          <cell r="BF316">
            <v>11061.994536591061</v>
          </cell>
          <cell r="BG316">
            <v>8551.2950607883995</v>
          </cell>
          <cell r="BL316">
            <v>95.624099999999999</v>
          </cell>
          <cell r="DO316">
            <v>316</v>
          </cell>
        </row>
        <row r="317">
          <cell r="A317" t="str">
            <v>Santa Cruz-Watsonville, CA Metro Area</v>
          </cell>
          <cell r="B317">
            <v>7787.0640353034723</v>
          </cell>
          <cell r="C317">
            <v>5533.1864020183566</v>
          </cell>
          <cell r="D317">
            <v>5766.9402964529991</v>
          </cell>
          <cell r="E317">
            <v>5434.6205081986191</v>
          </cell>
          <cell r="F317">
            <v>2232.4748462009261</v>
          </cell>
          <cell r="G317">
            <v>1448.0746434626067</v>
          </cell>
          <cell r="H317">
            <v>3674.6653000000001</v>
          </cell>
          <cell r="I317">
            <v>1012.9014355745107</v>
          </cell>
          <cell r="J317">
            <v>1508.6945639655671</v>
          </cell>
          <cell r="K317">
            <v>37.140099999999997</v>
          </cell>
          <cell r="L317">
            <v>123.685</v>
          </cell>
          <cell r="M317">
            <v>249.42859999999999</v>
          </cell>
          <cell r="N317">
            <v>327.9853332103321</v>
          </cell>
          <cell r="O317">
            <v>782.3904007514451</v>
          </cell>
          <cell r="P317">
            <v>8176.7908841488024</v>
          </cell>
          <cell r="Q317">
            <v>8620.80842225987</v>
          </cell>
          <cell r="R317">
            <v>6188.1493</v>
          </cell>
          <cell r="S317">
            <v>54.680900000000001</v>
          </cell>
          <cell r="DO317">
            <v>317</v>
          </cell>
        </row>
        <row r="318">
          <cell r="A318" t="str">
            <v>Santa Fe, NM Metro Area</v>
          </cell>
          <cell r="B318">
            <v>2529.9191565848687</v>
          </cell>
          <cell r="C318">
            <v>2364.3470284197924</v>
          </cell>
          <cell r="D318">
            <v>2943.2005039339797</v>
          </cell>
          <cell r="E318">
            <v>3966.1481154864864</v>
          </cell>
          <cell r="F318">
            <v>2217.9717802851474</v>
          </cell>
          <cell r="G318">
            <v>3019.2459340168398</v>
          </cell>
          <cell r="H318">
            <v>2793.4080735699754</v>
          </cell>
          <cell r="I318">
            <v>1885.1901342133758</v>
          </cell>
          <cell r="J318">
            <v>1438.7954970703979</v>
          </cell>
          <cell r="K318">
            <v>113.13195664974619</v>
          </cell>
          <cell r="L318">
            <v>189.89971469164385</v>
          </cell>
          <cell r="M318">
            <v>897.3343000000001</v>
          </cell>
          <cell r="N318">
            <v>41.447200000000002</v>
          </cell>
          <cell r="P318">
            <v>75.806964056720091</v>
          </cell>
          <cell r="R318">
            <v>25.7545</v>
          </cell>
          <cell r="S318">
            <v>3.6977000000000002</v>
          </cell>
          <cell r="V318">
            <v>41.919499999999999</v>
          </cell>
          <cell r="X318">
            <v>643.26800000000003</v>
          </cell>
          <cell r="AO318">
            <v>3.2814999999999999</v>
          </cell>
          <cell r="AQ318">
            <v>56.130200000000002</v>
          </cell>
          <cell r="AU318">
            <v>187.4461</v>
          </cell>
          <cell r="DO318">
            <v>318</v>
          </cell>
        </row>
        <row r="319">
          <cell r="A319" t="str">
            <v>Santa Rosa-Petaluma, CA Metro Area</v>
          </cell>
          <cell r="B319">
            <v>6802.4607552564676</v>
          </cell>
          <cell r="C319">
            <v>6301.6537945080581</v>
          </cell>
          <cell r="D319">
            <v>3573.9128872847978</v>
          </cell>
          <cell r="E319">
            <v>3680.3787198155683</v>
          </cell>
          <cell r="F319">
            <v>234.48198444022773</v>
          </cell>
          <cell r="G319">
            <v>1729.7615851362707</v>
          </cell>
          <cell r="H319">
            <v>4509.3499493735553</v>
          </cell>
          <cell r="I319">
            <v>3060.5750937313101</v>
          </cell>
          <cell r="K319">
            <v>1955.6247593796452</v>
          </cell>
          <cell r="L319">
            <v>207.04708230888795</v>
          </cell>
          <cell r="N319">
            <v>3344.6532280420292</v>
          </cell>
          <cell r="O319">
            <v>3840.7328929778214</v>
          </cell>
          <cell r="P319">
            <v>3166.488077851277</v>
          </cell>
          <cell r="Q319">
            <v>2055.8148785016283</v>
          </cell>
          <cell r="R319">
            <v>210.75508464268236</v>
          </cell>
          <cell r="S319">
            <v>2664.7451497389584</v>
          </cell>
          <cell r="U319">
            <v>45.269100000000002</v>
          </cell>
          <cell r="V319">
            <v>19.7638</v>
          </cell>
          <cell r="Y319">
            <v>7.5602999999999998</v>
          </cell>
          <cell r="AE319">
            <v>60.6173</v>
          </cell>
          <cell r="AF319">
            <v>413.7867</v>
          </cell>
          <cell r="AQ319">
            <v>31.448300000000003</v>
          </cell>
          <cell r="DO319">
            <v>319</v>
          </cell>
        </row>
        <row r="320">
          <cell r="A320" t="str">
            <v>Savannah, GA Metro Area</v>
          </cell>
          <cell r="B320">
            <v>6379.8471298743598</v>
          </cell>
          <cell r="C320">
            <v>5961.1050367657363</v>
          </cell>
          <cell r="D320">
            <v>4888.9797721716677</v>
          </cell>
          <cell r="E320">
            <v>3463.8065293733575</v>
          </cell>
          <cell r="F320">
            <v>1675.8144440940882</v>
          </cell>
          <cell r="G320">
            <v>925.46838307727057</v>
          </cell>
          <cell r="H320">
            <v>2849.9069877317793</v>
          </cell>
          <cell r="I320">
            <v>2714.2593847577655</v>
          </cell>
          <cell r="J320">
            <v>1639.4473353793146</v>
          </cell>
          <cell r="K320">
            <v>402.73736393013104</v>
          </cell>
          <cell r="L320">
            <v>237.07722040017401</v>
          </cell>
          <cell r="M320">
            <v>108.99089010459903</v>
          </cell>
          <cell r="N320">
            <v>184.50559999999999</v>
          </cell>
          <cell r="P320">
            <v>160.21953219190297</v>
          </cell>
          <cell r="Q320">
            <v>241.34918904299582</v>
          </cell>
          <cell r="R320">
            <v>673.40239080967899</v>
          </cell>
          <cell r="T320">
            <v>94.281912785114031</v>
          </cell>
          <cell r="U320">
            <v>72.926699999999997</v>
          </cell>
          <cell r="V320">
            <v>77.921499999999995</v>
          </cell>
          <cell r="W320">
            <v>95.017899999999997</v>
          </cell>
          <cell r="Y320">
            <v>83.898899999999998</v>
          </cell>
          <cell r="Z320">
            <v>59.507899999999999</v>
          </cell>
          <cell r="AA320">
            <v>76.2333</v>
          </cell>
          <cell r="AE320">
            <v>52.898000000000003</v>
          </cell>
          <cell r="AG320">
            <v>17.770299999999999</v>
          </cell>
          <cell r="DO320">
            <v>320</v>
          </cell>
        </row>
        <row r="321">
          <cell r="A321" t="str">
            <v>Scranton--Wilkes-Barre, PA Metro Area</v>
          </cell>
          <cell r="B321">
            <v>8641.6785869539763</v>
          </cell>
          <cell r="C321">
            <v>6485.4141184032096</v>
          </cell>
          <cell r="D321">
            <v>2155.481171485641</v>
          </cell>
          <cell r="E321">
            <v>781.89873093788071</v>
          </cell>
          <cell r="F321">
            <v>2079.1294442450912</v>
          </cell>
          <cell r="G321">
            <v>614.06205999999997</v>
          </cell>
          <cell r="H321">
            <v>1705.2935468698699</v>
          </cell>
          <cell r="I321">
            <v>525.81200592725975</v>
          </cell>
          <cell r="J321">
            <v>1801.2639588442164</v>
          </cell>
          <cell r="K321">
            <v>2879.4625861919503</v>
          </cell>
          <cell r="L321">
            <v>787.37477447351887</v>
          </cell>
          <cell r="M321">
            <v>1118.4494436459147</v>
          </cell>
          <cell r="N321">
            <v>1086.4983540641315</v>
          </cell>
          <cell r="O321">
            <v>1971.1275454403151</v>
          </cell>
          <cell r="P321">
            <v>2517.4764552317838</v>
          </cell>
          <cell r="Q321">
            <v>4861.9526159028446</v>
          </cell>
          <cell r="R321">
            <v>4512.2319884099843</v>
          </cell>
          <cell r="S321">
            <v>3663.2468850375622</v>
          </cell>
          <cell r="T321">
            <v>2751.2986256386293</v>
          </cell>
          <cell r="U321">
            <v>2244.5124216644649</v>
          </cell>
          <cell r="V321">
            <v>524.13441335925347</v>
          </cell>
          <cell r="W321">
            <v>65.34923524867213</v>
          </cell>
          <cell r="X321">
            <v>2845.5990471869995</v>
          </cell>
          <cell r="Y321">
            <v>2027.5151717050751</v>
          </cell>
          <cell r="AA321">
            <v>304.85719999999998</v>
          </cell>
          <cell r="AB321">
            <v>115.84677654570939</v>
          </cell>
          <cell r="AC321">
            <v>66.225381479574324</v>
          </cell>
          <cell r="AD321">
            <v>71.203000000000003</v>
          </cell>
          <cell r="AE321">
            <v>3538.6159983210914</v>
          </cell>
          <cell r="AF321">
            <v>215.61099999999999</v>
          </cell>
          <cell r="AG321">
            <v>3370.0061000000005</v>
          </cell>
          <cell r="AI321">
            <v>149.02106905320815</v>
          </cell>
          <cell r="AJ321">
            <v>3814.5539891462395</v>
          </cell>
          <cell r="AK321">
            <v>5011.4370687386827</v>
          </cell>
          <cell r="AL321">
            <v>133.8407</v>
          </cell>
          <cell r="AM321">
            <v>68.868700000000004</v>
          </cell>
          <cell r="AP321">
            <v>87.426100000000005</v>
          </cell>
          <cell r="DO321">
            <v>321</v>
          </cell>
        </row>
        <row r="322">
          <cell r="A322" t="str">
            <v>Seattle-Tacoma-Bellevue, WA Metro Area</v>
          </cell>
          <cell r="B322">
            <v>22351.230861006676</v>
          </cell>
          <cell r="C322">
            <v>16086.021128874563</v>
          </cell>
          <cell r="D322">
            <v>9634.5896319223102</v>
          </cell>
          <cell r="E322">
            <v>7689.9837702959549</v>
          </cell>
          <cell r="F322">
            <v>8490.5799056930773</v>
          </cell>
          <cell r="G322">
            <v>7415.8667362550832</v>
          </cell>
          <cell r="H322">
            <v>6036.1916077241076</v>
          </cell>
          <cell r="I322">
            <v>5066.9036035805575</v>
          </cell>
          <cell r="J322">
            <v>4412.51114802343</v>
          </cell>
          <cell r="K322">
            <v>4615.7228125590327</v>
          </cell>
          <cell r="L322">
            <v>4167.843992714892</v>
          </cell>
          <cell r="M322">
            <v>4019.5927183985909</v>
          </cell>
          <cell r="N322">
            <v>3522.8288756446009</v>
          </cell>
          <cell r="O322">
            <v>3425.8268245024387</v>
          </cell>
          <cell r="P322">
            <v>3515.8507850045312</v>
          </cell>
          <cell r="Q322">
            <v>4149.1210286674268</v>
          </cell>
          <cell r="R322">
            <v>2693.335156898489</v>
          </cell>
          <cell r="S322">
            <v>5332.5331115488989</v>
          </cell>
          <cell r="T322">
            <v>2999.438463376408</v>
          </cell>
          <cell r="U322">
            <v>2985.682298597661</v>
          </cell>
          <cell r="V322">
            <v>3846.5701672879932</v>
          </cell>
          <cell r="W322">
            <v>3685.7082039248849</v>
          </cell>
          <cell r="X322">
            <v>2925.5699820787254</v>
          </cell>
          <cell r="Y322">
            <v>3492.7527461862328</v>
          </cell>
          <cell r="Z322">
            <v>3630.3207159296153</v>
          </cell>
          <cell r="AA322">
            <v>3353.6717229237515</v>
          </cell>
          <cell r="AB322">
            <v>3383.5614451524107</v>
          </cell>
          <cell r="AC322">
            <v>3497.5724975797089</v>
          </cell>
          <cell r="AD322">
            <v>3129.4861274235386</v>
          </cell>
          <cell r="AE322">
            <v>2912.59068845205</v>
          </cell>
          <cell r="AF322">
            <v>3254.8891649507232</v>
          </cell>
          <cell r="AG322">
            <v>2537.4888923253484</v>
          </cell>
          <cell r="AH322">
            <v>2756.9386017292409</v>
          </cell>
          <cell r="AI322">
            <v>1799.8053395729801</v>
          </cell>
          <cell r="AJ322">
            <v>2772.0571961424471</v>
          </cell>
          <cell r="AK322">
            <v>1018.4027573798573</v>
          </cell>
          <cell r="AL322">
            <v>1292.4679798021514</v>
          </cell>
          <cell r="AM322">
            <v>1127.8630674332546</v>
          </cell>
          <cell r="AN322">
            <v>187.48402210140779</v>
          </cell>
          <cell r="AO322">
            <v>1043.5228117491044</v>
          </cell>
          <cell r="AP322">
            <v>348.44240000000002</v>
          </cell>
          <cell r="AQ322">
            <v>1049.7804000000001</v>
          </cell>
          <cell r="AR322">
            <v>75.241500000000002</v>
          </cell>
          <cell r="AS322">
            <v>145.73829863496931</v>
          </cell>
          <cell r="AT322">
            <v>258.95543910709432</v>
          </cell>
          <cell r="AU322">
            <v>137.5908</v>
          </cell>
          <cell r="AW322">
            <v>63.455100000000002</v>
          </cell>
          <cell r="BA322">
            <v>24.408300000000001</v>
          </cell>
          <cell r="BE322">
            <v>4.3052999999999999</v>
          </cell>
          <cell r="DO322">
            <v>322</v>
          </cell>
        </row>
        <row r="323">
          <cell r="A323" t="str">
            <v>Sebastian-Vero Beach, FL Metro Area</v>
          </cell>
          <cell r="B323">
            <v>724.87549999999999</v>
          </cell>
          <cell r="C323">
            <v>1229.461</v>
          </cell>
          <cell r="D323">
            <v>1319.6028000000001</v>
          </cell>
          <cell r="E323">
            <v>1003.0950897693491</v>
          </cell>
          <cell r="H323">
            <v>97.987700000000018</v>
          </cell>
          <cell r="I323">
            <v>263.4678046419474</v>
          </cell>
          <cell r="J323">
            <v>15.116400000000002</v>
          </cell>
          <cell r="L323">
            <v>1095.2933249442624</v>
          </cell>
          <cell r="M323">
            <v>758.97225536028122</v>
          </cell>
          <cell r="N323">
            <v>1453.0416321297816</v>
          </cell>
          <cell r="O323">
            <v>1737.7861463373949</v>
          </cell>
          <cell r="P323">
            <v>2406.6343093915489</v>
          </cell>
          <cell r="Q323">
            <v>1127.011039066886</v>
          </cell>
          <cell r="R323">
            <v>1469.3766000000001</v>
          </cell>
          <cell r="S323">
            <v>1506.9381974805133</v>
          </cell>
          <cell r="T323">
            <v>1359.1614999999999</v>
          </cell>
          <cell r="DO323">
            <v>323</v>
          </cell>
        </row>
        <row r="324">
          <cell r="A324" t="str">
            <v>Sheboygan, WI Metro Area</v>
          </cell>
          <cell r="B324">
            <v>7379.4684917258282</v>
          </cell>
          <cell r="C324">
            <v>3204.9760020115514</v>
          </cell>
          <cell r="D324">
            <v>3534.2573930434023</v>
          </cell>
          <cell r="E324">
            <v>448.37459999999999</v>
          </cell>
          <cell r="F324">
            <v>122.40099999999998</v>
          </cell>
          <cell r="G324">
            <v>2039.6994999999997</v>
          </cell>
          <cell r="H324">
            <v>95.24939999999998</v>
          </cell>
          <cell r="J324">
            <v>167.46484486428949</v>
          </cell>
          <cell r="K324">
            <v>84.682299999999998</v>
          </cell>
          <cell r="M324">
            <v>152.24090000000001</v>
          </cell>
          <cell r="N324">
            <v>194.6524</v>
          </cell>
          <cell r="O324">
            <v>443.11070000000001</v>
          </cell>
          <cell r="P324">
            <v>73.797499999999999</v>
          </cell>
          <cell r="Q324">
            <v>93.7547</v>
          </cell>
          <cell r="S324">
            <v>99.846599999999995</v>
          </cell>
          <cell r="T324">
            <v>49.112299999999998</v>
          </cell>
          <cell r="V324">
            <v>43.214099999999995</v>
          </cell>
          <cell r="DO324">
            <v>324</v>
          </cell>
        </row>
        <row r="325">
          <cell r="A325" t="str">
            <v>Sherman-Denison, TX Metro Area</v>
          </cell>
          <cell r="B325">
            <v>1855.5514999999998</v>
          </cell>
          <cell r="C325">
            <v>1824.3711618124526</v>
          </cell>
          <cell r="D325">
            <v>487.87729999999999</v>
          </cell>
          <cell r="E325">
            <v>70.165999999999997</v>
          </cell>
          <cell r="G325">
            <v>208.554</v>
          </cell>
          <cell r="I325">
            <v>937.56233550250715</v>
          </cell>
          <cell r="J325">
            <v>1959.9452000000001</v>
          </cell>
          <cell r="K325">
            <v>437.13509990600954</v>
          </cell>
          <cell r="M325">
            <v>71.895300000000006</v>
          </cell>
          <cell r="N325">
            <v>32.310699999999997</v>
          </cell>
          <cell r="O325">
            <v>51.303800000000003</v>
          </cell>
          <cell r="P325">
            <v>155.21204595715272</v>
          </cell>
          <cell r="R325">
            <v>93.368899999999996</v>
          </cell>
          <cell r="S325">
            <v>31.752400000000002</v>
          </cell>
          <cell r="DO325">
            <v>325</v>
          </cell>
        </row>
        <row r="326">
          <cell r="A326" t="str">
            <v>Shreveport-Bossier City, LA Metro Area</v>
          </cell>
          <cell r="B326">
            <v>1012.4796</v>
          </cell>
          <cell r="C326">
            <v>3967.7941201198632</v>
          </cell>
          <cell r="D326">
            <v>3226.8788630646854</v>
          </cell>
          <cell r="E326">
            <v>3364.781692302693</v>
          </cell>
          <cell r="F326">
            <v>1838.6430186631903</v>
          </cell>
          <cell r="G326">
            <v>2959.2032051006408</v>
          </cell>
          <cell r="H326">
            <v>1031.3156141673403</v>
          </cell>
          <cell r="I326">
            <v>1445.8706317675892</v>
          </cell>
          <cell r="J326">
            <v>934.96866274279296</v>
          </cell>
          <cell r="K326">
            <v>1141.5178331802877</v>
          </cell>
          <cell r="L326">
            <v>208.41416500700171</v>
          </cell>
          <cell r="M326">
            <v>145.97853974925496</v>
          </cell>
          <cell r="N326">
            <v>210.93870696941028</v>
          </cell>
          <cell r="O326">
            <v>122.03858814173368</v>
          </cell>
          <cell r="P326">
            <v>46.760272354948803</v>
          </cell>
          <cell r="S326">
            <v>47.644100000000002</v>
          </cell>
          <cell r="U326">
            <v>47.5199</v>
          </cell>
          <cell r="Y326">
            <v>17.0701</v>
          </cell>
          <cell r="Z326">
            <v>34.858600000000003</v>
          </cell>
          <cell r="AD326">
            <v>261.97710660290034</v>
          </cell>
          <cell r="AG326">
            <v>21.093599999999999</v>
          </cell>
          <cell r="AH326">
            <v>116.14709999999998</v>
          </cell>
          <cell r="AI326">
            <v>189.6482</v>
          </cell>
          <cell r="AJ326">
            <v>37.715103813747227</v>
          </cell>
          <cell r="AQ326">
            <v>12.0404</v>
          </cell>
          <cell r="DO326">
            <v>326</v>
          </cell>
        </row>
        <row r="327">
          <cell r="A327" t="str">
            <v>Sioux City, IA-NE-SD Metro Area</v>
          </cell>
          <cell r="B327">
            <v>8052.2888816412178</v>
          </cell>
          <cell r="C327">
            <v>4485.483910692602</v>
          </cell>
          <cell r="D327">
            <v>2163.5073772088526</v>
          </cell>
          <cell r="E327">
            <v>1695.7095186067884</v>
          </cell>
          <cell r="F327">
            <v>1448.0681256681055</v>
          </cell>
          <cell r="H327">
            <v>85.198377442414625</v>
          </cell>
          <cell r="N327">
            <v>14.7765</v>
          </cell>
          <cell r="P327">
            <v>24.827100000000002</v>
          </cell>
          <cell r="U327">
            <v>17.370319628252787</v>
          </cell>
          <cell r="V327">
            <v>10.2294</v>
          </cell>
          <cell r="AA327">
            <v>16.889800000000001</v>
          </cell>
          <cell r="AG327">
            <v>14.7788</v>
          </cell>
          <cell r="AO327">
            <v>16.483000000000001</v>
          </cell>
          <cell r="DO327">
            <v>327</v>
          </cell>
        </row>
        <row r="328">
          <cell r="A328" t="str">
            <v>Sioux Falls, SD Metro Area</v>
          </cell>
          <cell r="B328">
            <v>5265.7167259058097</v>
          </cell>
          <cell r="C328">
            <v>3652.6993850766721</v>
          </cell>
          <cell r="D328">
            <v>3329.0851742367176</v>
          </cell>
          <cell r="E328">
            <v>2508.2557085910544</v>
          </cell>
          <cell r="F328">
            <v>2601.0851036817025</v>
          </cell>
          <cell r="G328">
            <v>1435.2164538585641</v>
          </cell>
          <cell r="H328">
            <v>48.463128853084591</v>
          </cell>
          <cell r="I328">
            <v>301.73802244897956</v>
          </cell>
          <cell r="J328">
            <v>459.27846002857143</v>
          </cell>
          <cell r="K328">
            <v>19.861161862177799</v>
          </cell>
          <cell r="L328">
            <v>31.757200000000001</v>
          </cell>
          <cell r="N328">
            <v>32.995100000000001</v>
          </cell>
          <cell r="P328">
            <v>30.584608641202259</v>
          </cell>
          <cell r="S328">
            <v>12.893000000000001</v>
          </cell>
          <cell r="T328">
            <v>86.840999999999994</v>
          </cell>
          <cell r="U328">
            <v>136.6497</v>
          </cell>
          <cell r="Y328">
            <v>15.467200000000002</v>
          </cell>
          <cell r="AC328">
            <v>10.077500000000001</v>
          </cell>
          <cell r="AF328">
            <v>11.884323810204373</v>
          </cell>
          <cell r="AI328">
            <v>10.972899999999999</v>
          </cell>
          <cell r="DO328">
            <v>328</v>
          </cell>
        </row>
        <row r="329">
          <cell r="A329" t="str">
            <v>South Bend-Mishawaka, IN-MI Metro Area</v>
          </cell>
          <cell r="B329">
            <v>4139.1557720248011</v>
          </cell>
          <cell r="C329">
            <v>4875.0738984728623</v>
          </cell>
          <cell r="D329">
            <v>3818.5506666128749</v>
          </cell>
          <cell r="E329">
            <v>3318.6298400090668</v>
          </cell>
          <cell r="F329">
            <v>1980.0316605273347</v>
          </cell>
          <cell r="G329">
            <v>1029.1201151492708</v>
          </cell>
          <cell r="H329">
            <v>1132.8830222795498</v>
          </cell>
          <cell r="I329">
            <v>1125.5939000000001</v>
          </cell>
          <cell r="J329">
            <v>744.24888322997833</v>
          </cell>
          <cell r="L329">
            <v>301.60809646948064</v>
          </cell>
          <cell r="M329">
            <v>272.57661453806747</v>
          </cell>
          <cell r="N329">
            <v>71.280900000000003</v>
          </cell>
          <cell r="O329">
            <v>71.219300000000004</v>
          </cell>
          <cell r="P329">
            <v>332.71530000000001</v>
          </cell>
          <cell r="S329">
            <v>108.95096854178675</v>
          </cell>
          <cell r="T329">
            <v>137.83500000000001</v>
          </cell>
          <cell r="U329">
            <v>95.964100000000002</v>
          </cell>
          <cell r="X329">
            <v>57.920699999999997</v>
          </cell>
          <cell r="Y329">
            <v>74.182299999999998</v>
          </cell>
          <cell r="Z329">
            <v>147.61430383434063</v>
          </cell>
          <cell r="AF329">
            <v>54.668599999999998</v>
          </cell>
          <cell r="DO329">
            <v>329</v>
          </cell>
        </row>
        <row r="330">
          <cell r="A330" t="str">
            <v>Spartanburg, SC Metro Area</v>
          </cell>
          <cell r="B330">
            <v>3231.9461391137102</v>
          </cell>
          <cell r="C330">
            <v>2168.5359009337676</v>
          </cell>
          <cell r="D330">
            <v>1384.5170714660528</v>
          </cell>
          <cell r="E330">
            <v>1139.7349226318329</v>
          </cell>
          <cell r="F330">
            <v>761.24415996444884</v>
          </cell>
          <cell r="G330">
            <v>628.74423865279368</v>
          </cell>
          <cell r="H330">
            <v>539.68065520482958</v>
          </cell>
          <cell r="I330">
            <v>356.91186260273975</v>
          </cell>
          <cell r="J330">
            <v>288.16397364095172</v>
          </cell>
          <cell r="K330">
            <v>372.87907731257098</v>
          </cell>
          <cell r="L330">
            <v>282.09091655328803</v>
          </cell>
          <cell r="M330">
            <v>606.95510829563693</v>
          </cell>
          <cell r="N330">
            <v>73.491600000000005</v>
          </cell>
          <cell r="O330">
            <v>171.96743294580369</v>
          </cell>
          <cell r="P330">
            <v>266.54328790945408</v>
          </cell>
          <cell r="Q330">
            <v>708.51356579544006</v>
          </cell>
          <cell r="R330">
            <v>1462.7116000000001</v>
          </cell>
          <cell r="S330">
            <v>110.7526</v>
          </cell>
          <cell r="T330">
            <v>62.338299999999997</v>
          </cell>
          <cell r="W330">
            <v>393.81380000000001</v>
          </cell>
          <cell r="DO330">
            <v>330</v>
          </cell>
        </row>
        <row r="331">
          <cell r="A331" t="str">
            <v>Spokane, WA Metro Area</v>
          </cell>
          <cell r="B331">
            <v>4327.8475071119592</v>
          </cell>
          <cell r="C331">
            <v>5614.1376612013646</v>
          </cell>
          <cell r="D331">
            <v>4470.011402666667</v>
          </cell>
          <cell r="E331">
            <v>4988.5646496022437</v>
          </cell>
          <cell r="F331">
            <v>3248.7372913500753</v>
          </cell>
          <cell r="G331">
            <v>1549.7250856633525</v>
          </cell>
          <cell r="H331">
            <v>1798.6578304172631</v>
          </cell>
          <cell r="I331">
            <v>1779.4103064646463</v>
          </cell>
          <cell r="J331">
            <v>3143.7277930301125</v>
          </cell>
          <cell r="K331">
            <v>2085.0813237840389</v>
          </cell>
          <cell r="L331">
            <v>1550.9780977064931</v>
          </cell>
          <cell r="M331">
            <v>284.99062446945175</v>
          </cell>
          <cell r="N331">
            <v>497.06974657631105</v>
          </cell>
          <cell r="O331">
            <v>1677.8850567299155</v>
          </cell>
          <cell r="Q331">
            <v>304.2435044954567</v>
          </cell>
          <cell r="V331">
            <v>235.26014263199369</v>
          </cell>
          <cell r="W331">
            <v>43.2821</v>
          </cell>
          <cell r="X331">
            <v>66.872</v>
          </cell>
          <cell r="DO331">
            <v>331</v>
          </cell>
        </row>
        <row r="332">
          <cell r="A332" t="str">
            <v>Springfield, IL Metro Area</v>
          </cell>
          <cell r="B332">
            <v>4772.6651217269955</v>
          </cell>
          <cell r="C332">
            <v>3803.8695492521742</v>
          </cell>
          <cell r="D332">
            <v>3123.3115664771831</v>
          </cell>
          <cell r="E332">
            <v>1890.8676698882207</v>
          </cell>
          <cell r="F332">
            <v>1192.8349387958044</v>
          </cell>
          <cell r="G332">
            <v>540.53060151843829</v>
          </cell>
          <cell r="H332">
            <v>128.05497725181218</v>
          </cell>
          <cell r="I332">
            <v>78.833697581733261</v>
          </cell>
          <cell r="J332">
            <v>568.87329999999997</v>
          </cell>
          <cell r="K332">
            <v>154.00302500000001</v>
          </cell>
          <cell r="O332">
            <v>23.038499999999999</v>
          </cell>
          <cell r="P332">
            <v>46.052811144050665</v>
          </cell>
          <cell r="R332">
            <v>158.93</v>
          </cell>
          <cell r="S332">
            <v>184.72669999999999</v>
          </cell>
          <cell r="T332">
            <v>20.163</v>
          </cell>
          <cell r="DO332">
            <v>332</v>
          </cell>
        </row>
        <row r="333">
          <cell r="A333" t="str">
            <v>Springfield, MA Metro Area</v>
          </cell>
          <cell r="B333">
            <v>8465.1308549214955</v>
          </cell>
          <cell r="C333">
            <v>8436.833049184901</v>
          </cell>
          <cell r="D333">
            <v>4568.2646576114412</v>
          </cell>
          <cell r="E333">
            <v>3333.0767407208309</v>
          </cell>
          <cell r="F333">
            <v>2308.6479268958592</v>
          </cell>
          <cell r="G333">
            <v>2462.9712772717985</v>
          </cell>
          <cell r="H333">
            <v>3336.0698898937285</v>
          </cell>
          <cell r="I333">
            <v>3799.838845301409</v>
          </cell>
          <cell r="J333">
            <v>2951.3507000034401</v>
          </cell>
          <cell r="K333">
            <v>772.38588438986324</v>
          </cell>
          <cell r="L333">
            <v>851.10833866341841</v>
          </cell>
          <cell r="M333">
            <v>706.11729127179592</v>
          </cell>
          <cell r="N333">
            <v>902.53623259970459</v>
          </cell>
          <cell r="P333">
            <v>639.01331362419012</v>
          </cell>
          <cell r="Q333">
            <v>3427.2525476609162</v>
          </cell>
          <cell r="R333">
            <v>770.74031555195791</v>
          </cell>
          <cell r="S333">
            <v>204.99959341913552</v>
          </cell>
          <cell r="T333">
            <v>852.81110000000001</v>
          </cell>
          <cell r="U333">
            <v>968.36230208968652</v>
          </cell>
          <cell r="V333">
            <v>7287.1422265487872</v>
          </cell>
          <cell r="W333">
            <v>1101.1265612573377</v>
          </cell>
          <cell r="X333">
            <v>77.679299999999998</v>
          </cell>
          <cell r="Y333">
            <v>38.923000000000002</v>
          </cell>
          <cell r="Z333">
            <v>155.30959999999999</v>
          </cell>
          <cell r="AB333">
            <v>47.0062</v>
          </cell>
          <cell r="AC333">
            <v>146.91579999999999</v>
          </cell>
          <cell r="AD333">
            <v>33.727800000000002</v>
          </cell>
          <cell r="AE333">
            <v>46.182499999999997</v>
          </cell>
          <cell r="AH333">
            <v>150.99170000000001</v>
          </cell>
          <cell r="AI333">
            <v>4116.3792578819621</v>
          </cell>
          <cell r="AJ333">
            <v>2172.8243510370107</v>
          </cell>
          <cell r="AK333">
            <v>145.23788364046632</v>
          </cell>
          <cell r="AL333">
            <v>362.70920000000001</v>
          </cell>
          <cell r="AM333">
            <v>144.16050000000001</v>
          </cell>
          <cell r="AO333">
            <v>77.730199999999996</v>
          </cell>
          <cell r="AP333">
            <v>51.459650272232302</v>
          </cell>
          <cell r="DO333">
            <v>333</v>
          </cell>
        </row>
        <row r="334">
          <cell r="A334" t="str">
            <v>Springfield, MO Metro Area</v>
          </cell>
          <cell r="B334">
            <v>3249.9164029683529</v>
          </cell>
          <cell r="C334">
            <v>5072.9289449932594</v>
          </cell>
          <cell r="D334">
            <v>2366.8869085587289</v>
          </cell>
          <cell r="E334">
            <v>2322.3669694697469</v>
          </cell>
          <cell r="F334">
            <v>2077.4778861635582</v>
          </cell>
          <cell r="G334">
            <v>1719.0653137002655</v>
          </cell>
          <cell r="H334">
            <v>951.05121715041901</v>
          </cell>
          <cell r="I334">
            <v>793.53726470588242</v>
          </cell>
          <cell r="J334">
            <v>71.333215758099357</v>
          </cell>
          <cell r="L334">
            <v>269.29242955101239</v>
          </cell>
          <cell r="M334">
            <v>597.84880030306601</v>
          </cell>
          <cell r="N334">
            <v>441.82922281730316</v>
          </cell>
          <cell r="O334">
            <v>477.60359999999997</v>
          </cell>
          <cell r="P334">
            <v>466.64359152399658</v>
          </cell>
          <cell r="Q334">
            <v>77.778366507912125</v>
          </cell>
          <cell r="R334">
            <v>178.05250000000001</v>
          </cell>
          <cell r="S334">
            <v>58.246293533983795</v>
          </cell>
          <cell r="T334">
            <v>44.761699999999998</v>
          </cell>
          <cell r="U334">
            <v>40.156500000000001</v>
          </cell>
          <cell r="W334">
            <v>71.19686152601507</v>
          </cell>
          <cell r="Y334">
            <v>99.841987500000002</v>
          </cell>
          <cell r="Z334">
            <v>43.493299999999998</v>
          </cell>
          <cell r="AA334">
            <v>28.595700000000001</v>
          </cell>
          <cell r="AD334">
            <v>26.9922</v>
          </cell>
          <cell r="AE334">
            <v>57.321399999999997</v>
          </cell>
          <cell r="AG334">
            <v>55.859624444444442</v>
          </cell>
          <cell r="AK334">
            <v>42.125799999999998</v>
          </cell>
          <cell r="AQ334">
            <v>17.140799999999999</v>
          </cell>
          <cell r="DO334">
            <v>334</v>
          </cell>
        </row>
        <row r="335">
          <cell r="A335" t="str">
            <v>Springfield, OH Metro Area</v>
          </cell>
          <cell r="B335">
            <v>5657.562742536089</v>
          </cell>
          <cell r="C335">
            <v>3022.1133876576796</v>
          </cell>
          <cell r="D335">
            <v>2008.0155975481005</v>
          </cell>
          <cell r="E335">
            <v>1568.4939120037886</v>
          </cell>
          <cell r="G335">
            <v>1267.674849269046</v>
          </cell>
          <cell r="H335">
            <v>122.29999999999998</v>
          </cell>
          <cell r="I335">
            <v>365.41512599620495</v>
          </cell>
          <cell r="J335">
            <v>975.40339999999992</v>
          </cell>
          <cell r="K335">
            <v>159.62251716836971</v>
          </cell>
          <cell r="M335">
            <v>571.11616055750164</v>
          </cell>
          <cell r="N335">
            <v>1299.9441583528762</v>
          </cell>
          <cell r="DO335">
            <v>335</v>
          </cell>
        </row>
        <row r="336">
          <cell r="A336" t="str">
            <v>State College, PA Metro Area</v>
          </cell>
          <cell r="B336">
            <v>13083.431888340883</v>
          </cell>
          <cell r="C336">
            <v>3021.7311867919448</v>
          </cell>
          <cell r="D336">
            <v>397.75072918747162</v>
          </cell>
          <cell r="E336">
            <v>563.34879999999998</v>
          </cell>
          <cell r="F336">
            <v>132.83803501380507</v>
          </cell>
          <cell r="G336">
            <v>1720.5461</v>
          </cell>
          <cell r="H336">
            <v>116.9346</v>
          </cell>
          <cell r="J336">
            <v>137.38579128776769</v>
          </cell>
          <cell r="K336">
            <v>3466.1215999999999</v>
          </cell>
          <cell r="M336">
            <v>61.573300000000003</v>
          </cell>
          <cell r="N336">
            <v>78.845799999999997</v>
          </cell>
          <cell r="Q336">
            <v>68.999799999999993</v>
          </cell>
          <cell r="T336">
            <v>16.904</v>
          </cell>
          <cell r="U336">
            <v>20.6614</v>
          </cell>
          <cell r="V336">
            <v>1736.0045495120698</v>
          </cell>
          <cell r="X336">
            <v>32.221600000000002</v>
          </cell>
          <cell r="DO336">
            <v>336</v>
          </cell>
        </row>
        <row r="337">
          <cell r="A337" t="str">
            <v>Steubenville-Weirton, OH-WV Metro Area</v>
          </cell>
          <cell r="B337">
            <v>4536.7510570467175</v>
          </cell>
          <cell r="C337">
            <v>643.71130000000005</v>
          </cell>
          <cell r="D337">
            <v>1127.6959518387314</v>
          </cell>
          <cell r="E337">
            <v>1630.7863314678286</v>
          </cell>
          <cell r="F337">
            <v>1320.0059139471177</v>
          </cell>
          <cell r="G337">
            <v>649.48553953026658</v>
          </cell>
          <cell r="H337">
            <v>2017.6460066473987</v>
          </cell>
          <cell r="I337">
            <v>3891.6401000000005</v>
          </cell>
          <cell r="J337">
            <v>134.49089049836979</v>
          </cell>
          <cell r="K337">
            <v>151.41639683517116</v>
          </cell>
          <cell r="L337">
            <v>137.30932627833133</v>
          </cell>
          <cell r="N337">
            <v>105.73673696690851</v>
          </cell>
          <cell r="O337">
            <v>2467.8308999999999</v>
          </cell>
          <cell r="P337">
            <v>43.090299999999999</v>
          </cell>
          <cell r="R337">
            <v>119.21080915705228</v>
          </cell>
          <cell r="S337">
            <v>380.95460000000003</v>
          </cell>
          <cell r="DO337">
            <v>337</v>
          </cell>
        </row>
        <row r="338">
          <cell r="A338" t="str">
            <v>Stockton, CA Metro Area</v>
          </cell>
          <cell r="B338">
            <v>7467.7998066626988</v>
          </cell>
          <cell r="C338">
            <v>5634.4520611636899</v>
          </cell>
          <cell r="D338">
            <v>7011.7787049880517</v>
          </cell>
          <cell r="E338">
            <v>5027.0521682127273</v>
          </cell>
          <cell r="F338">
            <v>5829.8048084746079</v>
          </cell>
          <cell r="G338">
            <v>7436.5037352381414</v>
          </cell>
          <cell r="H338">
            <v>4836.9613053990724</v>
          </cell>
          <cell r="I338">
            <v>272.76251729247008</v>
          </cell>
          <cell r="J338">
            <v>2039.8038154890294</v>
          </cell>
          <cell r="K338">
            <v>3166.3987362055382</v>
          </cell>
          <cell r="L338">
            <v>6542.5084735235605</v>
          </cell>
          <cell r="M338">
            <v>5471.2369168480345</v>
          </cell>
          <cell r="N338">
            <v>4546.0067720316983</v>
          </cell>
          <cell r="O338">
            <v>1146.833561498549</v>
          </cell>
          <cell r="P338">
            <v>76.911900000000003</v>
          </cell>
          <cell r="Q338">
            <v>7711.4015962344083</v>
          </cell>
          <cell r="R338">
            <v>2685.6160617378232</v>
          </cell>
          <cell r="S338">
            <v>4035.9665416750063</v>
          </cell>
          <cell r="T338">
            <v>2235.3841872248636</v>
          </cell>
          <cell r="U338">
            <v>2015.2432010900254</v>
          </cell>
          <cell r="V338">
            <v>8.6448</v>
          </cell>
          <cell r="DO338">
            <v>338</v>
          </cell>
        </row>
        <row r="339">
          <cell r="A339" t="str">
            <v>Sumter, SC Metro Area</v>
          </cell>
          <cell r="B339">
            <v>2384.1049862471573</v>
          </cell>
          <cell r="C339">
            <v>1047.3224780835428</v>
          </cell>
          <cell r="D339">
            <v>1523.521207864919</v>
          </cell>
          <cell r="E339">
            <v>873.34929999999997</v>
          </cell>
          <cell r="F339">
            <v>760.77889999999991</v>
          </cell>
          <cell r="G339">
            <v>61.546999999999997</v>
          </cell>
          <cell r="H339">
            <v>123.71602076105812</v>
          </cell>
          <cell r="I339">
            <v>134.86490000000001</v>
          </cell>
          <cell r="J339">
            <v>660.0305319402454</v>
          </cell>
          <cell r="K339">
            <v>32.921900000000001</v>
          </cell>
          <cell r="M339">
            <v>111.7833</v>
          </cell>
          <cell r="Q339">
            <v>75.006399999999999</v>
          </cell>
          <cell r="T339">
            <v>29.089099999999998</v>
          </cell>
          <cell r="DO339">
            <v>339</v>
          </cell>
        </row>
        <row r="340">
          <cell r="A340" t="str">
            <v>Syracuse, NY Metro Area</v>
          </cell>
          <cell r="B340">
            <v>9764.5625567476218</v>
          </cell>
          <cell r="C340">
            <v>8778.6283908245405</v>
          </cell>
          <cell r="D340">
            <v>5598.974943056558</v>
          </cell>
          <cell r="E340">
            <v>2146.5398143810994</v>
          </cell>
          <cell r="F340">
            <v>2174.1281696717128</v>
          </cell>
          <cell r="G340">
            <v>2934.0408275561786</v>
          </cell>
          <cell r="H340">
            <v>1762.2811510184774</v>
          </cell>
          <cell r="I340">
            <v>1865.8038083690983</v>
          </cell>
          <cell r="J340">
            <v>2265.9750449511403</v>
          </cell>
          <cell r="K340">
            <v>1265.5974701930356</v>
          </cell>
          <cell r="L340">
            <v>820.98107512528475</v>
          </cell>
          <cell r="M340">
            <v>349.70239099993586</v>
          </cell>
          <cell r="N340">
            <v>827.9331628681847</v>
          </cell>
          <cell r="O340">
            <v>570.09174167011167</v>
          </cell>
          <cell r="P340">
            <v>497.41104036102348</v>
          </cell>
          <cell r="Q340">
            <v>192.46719593026339</v>
          </cell>
          <cell r="R340">
            <v>76.244702198139237</v>
          </cell>
          <cell r="S340">
            <v>276.67586821679936</v>
          </cell>
          <cell r="U340">
            <v>148.88740000000001</v>
          </cell>
          <cell r="V340">
            <v>593.58339477637821</v>
          </cell>
          <cell r="X340">
            <v>1080.453147538625</v>
          </cell>
          <cell r="Y340">
            <v>1734.1717463738889</v>
          </cell>
          <cell r="Z340">
            <v>144.94118954703833</v>
          </cell>
          <cell r="AA340">
            <v>2236.1059745659495</v>
          </cell>
          <cell r="AB340">
            <v>77.097200000000001</v>
          </cell>
          <cell r="AC340">
            <v>65.553080916184584</v>
          </cell>
          <cell r="AD340">
            <v>111.90450000000001</v>
          </cell>
          <cell r="AE340">
            <v>286.1884</v>
          </cell>
          <cell r="AF340">
            <v>94.377499999999984</v>
          </cell>
          <cell r="AG340">
            <v>177.3939</v>
          </cell>
          <cell r="AH340">
            <v>2358.9027345832305</v>
          </cell>
          <cell r="AI340">
            <v>2004.1830096111175</v>
          </cell>
          <cell r="AJ340">
            <v>499.01459394539535</v>
          </cell>
          <cell r="AK340">
            <v>186.53790640443313</v>
          </cell>
          <cell r="AP340">
            <v>91.216399999999993</v>
          </cell>
          <cell r="AT340">
            <v>30.878299999999999</v>
          </cell>
          <cell r="DO340">
            <v>340</v>
          </cell>
        </row>
        <row r="341">
          <cell r="A341" t="str">
            <v>Tallahassee, FL Metro Area</v>
          </cell>
          <cell r="B341">
            <v>5339.6913535300373</v>
          </cell>
          <cell r="C341">
            <v>5207.7536330603161</v>
          </cell>
          <cell r="D341">
            <v>3502.7331901102234</v>
          </cell>
          <cell r="E341">
            <v>1900.052940026686</v>
          </cell>
          <cell r="F341">
            <v>1337.0685862353671</v>
          </cell>
          <cell r="G341">
            <v>1196.1177699590883</v>
          </cell>
          <cell r="H341">
            <v>1166.658116567774</v>
          </cell>
          <cell r="I341">
            <v>913.59455469841055</v>
          </cell>
          <cell r="J341">
            <v>1078.6715672750977</v>
          </cell>
          <cell r="K341">
            <v>103.78470000000002</v>
          </cell>
          <cell r="L341">
            <v>877.67356383238405</v>
          </cell>
          <cell r="M341">
            <v>96.379024351633547</v>
          </cell>
          <cell r="N341">
            <v>64.564331898734167</v>
          </cell>
          <cell r="O341">
            <v>74.925299999999993</v>
          </cell>
          <cell r="P341">
            <v>102.41283515403515</v>
          </cell>
          <cell r="Q341">
            <v>96.912499999999994</v>
          </cell>
          <cell r="R341">
            <v>27.491700000000002</v>
          </cell>
          <cell r="U341">
            <v>152.75864282862111</v>
          </cell>
          <cell r="V341">
            <v>154.86269999999999</v>
          </cell>
          <cell r="W341">
            <v>130.4196</v>
          </cell>
          <cell r="Z341">
            <v>66.430899999999994</v>
          </cell>
          <cell r="AA341">
            <v>60.667658722080866</v>
          </cell>
          <cell r="AB341">
            <v>17.0382</v>
          </cell>
          <cell r="AD341">
            <v>22.4955</v>
          </cell>
          <cell r="AL341">
            <v>70.830500000000001</v>
          </cell>
          <cell r="DO341">
            <v>341</v>
          </cell>
        </row>
        <row r="342">
          <cell r="A342" t="str">
            <v>Tampa-St. Petersburg-Clearwater, FL Metro Area</v>
          </cell>
          <cell r="B342">
            <v>5261.0823098895526</v>
          </cell>
          <cell r="C342">
            <v>5548.112453142423</v>
          </cell>
          <cell r="D342">
            <v>4990.0598193866072</v>
          </cell>
          <cell r="E342">
            <v>4088.7682182292192</v>
          </cell>
          <cell r="F342">
            <v>4587.5573989838895</v>
          </cell>
          <cell r="G342">
            <v>4694.2435901988383</v>
          </cell>
          <cell r="H342">
            <v>4368.4956851144407</v>
          </cell>
          <cell r="I342">
            <v>3886.8387755099675</v>
          </cell>
          <cell r="J342">
            <v>4085.9276270057612</v>
          </cell>
          <cell r="K342">
            <v>4342.9012253127585</v>
          </cell>
          <cell r="L342">
            <v>2591.1653086742231</v>
          </cell>
          <cell r="M342">
            <v>2605.7331321076458</v>
          </cell>
          <cell r="N342">
            <v>2119.4764538570462</v>
          </cell>
          <cell r="O342">
            <v>2958.653788968244</v>
          </cell>
          <cell r="P342">
            <v>2578.684281001933</v>
          </cell>
          <cell r="Q342">
            <v>3336.4809466177439</v>
          </cell>
          <cell r="R342">
            <v>3649.3437696533565</v>
          </cell>
          <cell r="S342">
            <v>3622.3572722244712</v>
          </cell>
          <cell r="T342">
            <v>3975.8978194253646</v>
          </cell>
          <cell r="U342">
            <v>3934.3459817589469</v>
          </cell>
          <cell r="V342">
            <v>3852.0403574474544</v>
          </cell>
          <cell r="W342">
            <v>3753.5391539920697</v>
          </cell>
          <cell r="X342">
            <v>3499.209832869989</v>
          </cell>
          <cell r="Y342">
            <v>2886.8512150398124</v>
          </cell>
          <cell r="Z342">
            <v>3195.6238845022276</v>
          </cell>
          <cell r="AA342">
            <v>2791.4814537123152</v>
          </cell>
          <cell r="AB342">
            <v>2471.1238628105484</v>
          </cell>
          <cell r="AC342">
            <v>3199.105328134619</v>
          </cell>
          <cell r="AD342">
            <v>3215.7126683231963</v>
          </cell>
          <cell r="AE342">
            <v>2087.8159054208272</v>
          </cell>
          <cell r="AF342">
            <v>1976.1830264975408</v>
          </cell>
          <cell r="AG342">
            <v>2021.1754427953308</v>
          </cell>
          <cell r="AH342">
            <v>651.21280151216308</v>
          </cell>
          <cell r="AI342">
            <v>1702.813121352161</v>
          </cell>
          <cell r="AJ342">
            <v>649.62315316787976</v>
          </cell>
          <cell r="AK342">
            <v>1486.406785709851</v>
          </cell>
          <cell r="AL342">
            <v>1664.0189126025655</v>
          </cell>
          <cell r="AM342">
            <v>1384.4457500096514</v>
          </cell>
          <cell r="AN342">
            <v>1449.1820800034814</v>
          </cell>
          <cell r="AO342">
            <v>551.92814524016092</v>
          </cell>
          <cell r="AQ342">
            <v>843.36135145884282</v>
          </cell>
          <cell r="AR342">
            <v>448.74074980800884</v>
          </cell>
          <cell r="AS342">
            <v>76.976701973152203</v>
          </cell>
          <cell r="AV342">
            <v>71.478160706812375</v>
          </cell>
          <cell r="AW342">
            <v>71.095399999999998</v>
          </cell>
          <cell r="DO342">
            <v>342</v>
          </cell>
        </row>
        <row r="343">
          <cell r="A343" t="str">
            <v>Terre Haute, IN Metro Area</v>
          </cell>
          <cell r="B343">
            <v>5527.0821999999998</v>
          </cell>
          <cell r="C343">
            <v>3523.8177910786603</v>
          </cell>
          <cell r="D343">
            <v>2775.3973911575208</v>
          </cell>
          <cell r="E343">
            <v>1150.2064473865478</v>
          </cell>
          <cell r="F343">
            <v>265.06037570954874</v>
          </cell>
          <cell r="G343">
            <v>288.69409999999999</v>
          </cell>
          <cell r="H343">
            <v>168.07035601338632</v>
          </cell>
          <cell r="I343">
            <v>190.00578316351286</v>
          </cell>
          <cell r="J343">
            <v>75.884200000000007</v>
          </cell>
          <cell r="L343">
            <v>41.554499999999997</v>
          </cell>
          <cell r="N343">
            <v>78.218400000000003</v>
          </cell>
          <cell r="O343">
            <v>1028.8337346699111</v>
          </cell>
          <cell r="Q343">
            <v>542.90038107980104</v>
          </cell>
          <cell r="R343">
            <v>790.82719999999995</v>
          </cell>
          <cell r="T343">
            <v>57.022723386787391</v>
          </cell>
          <cell r="V343">
            <v>36.402700000000003</v>
          </cell>
          <cell r="Z343">
            <v>16.722899999999999</v>
          </cell>
          <cell r="AA343">
            <v>310.18711388051372</v>
          </cell>
          <cell r="AC343">
            <v>32.768999999999998</v>
          </cell>
          <cell r="AI343">
            <v>44.531399999999998</v>
          </cell>
          <cell r="AM343">
            <v>46.030700000000003</v>
          </cell>
          <cell r="DO343">
            <v>343</v>
          </cell>
        </row>
        <row r="344">
          <cell r="A344" t="str">
            <v>Texarkana, TX-Texarkana, AR Metro Area</v>
          </cell>
          <cell r="B344">
            <v>2020.8074528265684</v>
          </cell>
          <cell r="C344">
            <v>2663.7104997388624</v>
          </cell>
          <cell r="D344">
            <v>1423.7853843436203</v>
          </cell>
          <cell r="E344">
            <v>1686.3790471390678</v>
          </cell>
          <cell r="F344">
            <v>804.51208960068936</v>
          </cell>
          <cell r="G344">
            <v>475.63080000000008</v>
          </cell>
          <cell r="H344">
            <v>29.480799999999999</v>
          </cell>
          <cell r="I344">
            <v>70.551000000000002</v>
          </cell>
          <cell r="L344">
            <v>85.763900000000007</v>
          </cell>
          <cell r="O344">
            <v>21.6447</v>
          </cell>
          <cell r="P344">
            <v>49.140300000000011</v>
          </cell>
          <cell r="R344">
            <v>39.773499999999999</v>
          </cell>
          <cell r="X344">
            <v>88.086500000000015</v>
          </cell>
          <cell r="Z344">
            <v>121.5391</v>
          </cell>
          <cell r="AF344">
            <v>14.8337</v>
          </cell>
          <cell r="AI344">
            <v>24.323799999999999</v>
          </cell>
          <cell r="DO344">
            <v>344</v>
          </cell>
        </row>
        <row r="345">
          <cell r="A345" t="str">
            <v>Toledo, OH Metro Area</v>
          </cell>
          <cell r="B345">
            <v>5096.2575096385544</v>
          </cell>
          <cell r="C345">
            <v>6988.1421201392859</v>
          </cell>
          <cell r="D345">
            <v>4432.1440517166238</v>
          </cell>
          <cell r="E345">
            <v>5303.6344528448735</v>
          </cell>
          <cell r="F345">
            <v>3906.9499527056601</v>
          </cell>
          <cell r="G345">
            <v>3429.2687250806148</v>
          </cell>
          <cell r="H345">
            <v>3216.5970968988495</v>
          </cell>
          <cell r="I345">
            <v>2076.4316745180681</v>
          </cell>
          <cell r="J345">
            <v>2343.7110996636866</v>
          </cell>
          <cell r="K345">
            <v>2144.5934330665564</v>
          </cell>
          <cell r="L345">
            <v>1609.1276762075972</v>
          </cell>
          <cell r="M345">
            <v>267.13246623778036</v>
          </cell>
          <cell r="N345">
            <v>173.71721038262885</v>
          </cell>
          <cell r="O345">
            <v>98.1614</v>
          </cell>
          <cell r="P345">
            <v>381.81607985102426</v>
          </cell>
          <cell r="Q345">
            <v>69.483000000000004</v>
          </cell>
          <cell r="R345">
            <v>320.91640000000007</v>
          </cell>
          <cell r="S345">
            <v>94.662044065190656</v>
          </cell>
          <cell r="U345">
            <v>3665.0251233524677</v>
          </cell>
          <cell r="V345">
            <v>3379.1097335699033</v>
          </cell>
          <cell r="W345">
            <v>296.07387156459862</v>
          </cell>
          <cell r="X345">
            <v>351.22162504677271</v>
          </cell>
          <cell r="Y345">
            <v>69.040599999999998</v>
          </cell>
          <cell r="Z345">
            <v>224.42708374524716</v>
          </cell>
          <cell r="AB345">
            <v>67.248900000000006</v>
          </cell>
          <cell r="AC345">
            <v>52.042000000000002</v>
          </cell>
          <cell r="AF345">
            <v>110.035</v>
          </cell>
          <cell r="AG345">
            <v>780.48084050686077</v>
          </cell>
          <cell r="AH345">
            <v>972.84072629951402</v>
          </cell>
          <cell r="AI345">
            <v>286.15401428571431</v>
          </cell>
          <cell r="AL345">
            <v>479.63276692933403</v>
          </cell>
          <cell r="AN345">
            <v>204.70949999999999</v>
          </cell>
          <cell r="AP345">
            <v>275.40998871473357</v>
          </cell>
          <cell r="AQ345">
            <v>339.18880000000001</v>
          </cell>
          <cell r="DO345">
            <v>345</v>
          </cell>
        </row>
        <row r="346">
          <cell r="A346" t="str">
            <v>Topeka, KS Metro Area</v>
          </cell>
          <cell r="B346">
            <v>3931.0294387157105</v>
          </cell>
          <cell r="C346">
            <v>3852.4650455898231</v>
          </cell>
          <cell r="D346">
            <v>1792.6520451651852</v>
          </cell>
          <cell r="E346">
            <v>3037.6160791949428</v>
          </cell>
          <cell r="F346">
            <v>1935.8548077099772</v>
          </cell>
          <cell r="G346">
            <v>1977.5790312865975</v>
          </cell>
          <cell r="H346">
            <v>344.8012326472155</v>
          </cell>
          <cell r="I346">
            <v>211.26016582166545</v>
          </cell>
          <cell r="J346">
            <v>46.914299999999997</v>
          </cell>
          <cell r="M346">
            <v>40.931302670447046</v>
          </cell>
          <cell r="R346">
            <v>45.715990622473718</v>
          </cell>
          <cell r="U346">
            <v>28.164899999999999</v>
          </cell>
          <cell r="X346">
            <v>19.033100000000001</v>
          </cell>
          <cell r="Y346">
            <v>25.460626513142035</v>
          </cell>
          <cell r="Z346">
            <v>9.9841999999999995</v>
          </cell>
          <cell r="AB346">
            <v>22.979700000000001</v>
          </cell>
          <cell r="AD346">
            <v>95.922430935529533</v>
          </cell>
          <cell r="AE346">
            <v>401.71429999999998</v>
          </cell>
          <cell r="AF346">
            <v>11.077199999999999</v>
          </cell>
          <cell r="AI346">
            <v>7.0198</v>
          </cell>
          <cell r="DO346">
            <v>346</v>
          </cell>
        </row>
        <row r="347">
          <cell r="A347" t="str">
            <v>Trenton-Ewing, NJ Metro Area</v>
          </cell>
          <cell r="B347">
            <v>18445.331732598039</v>
          </cell>
          <cell r="C347">
            <v>12340.26488347092</v>
          </cell>
          <cell r="D347">
            <v>3885.8025278921914</v>
          </cell>
          <cell r="E347">
            <v>2835.0555414126479</v>
          </cell>
          <cell r="F347">
            <v>2264.8846318327337</v>
          </cell>
          <cell r="G347">
            <v>2088.7629635992535</v>
          </cell>
          <cell r="H347">
            <v>564.54976059743956</v>
          </cell>
          <cell r="I347">
            <v>1180.2141831213874</v>
          </cell>
          <cell r="J347">
            <v>356.57298760661672</v>
          </cell>
          <cell r="K347">
            <v>1249.1340580386345</v>
          </cell>
          <cell r="L347">
            <v>5412.9326405285829</v>
          </cell>
          <cell r="M347">
            <v>1449.4769371691023</v>
          </cell>
          <cell r="N347">
            <v>2204.6341097207064</v>
          </cell>
          <cell r="P347">
            <v>5806.7329</v>
          </cell>
          <cell r="DO347">
            <v>347</v>
          </cell>
        </row>
        <row r="348">
          <cell r="A348" t="str">
            <v>Tucson, AZ Metro Area</v>
          </cell>
          <cell r="B348">
            <v>4977.515091728169</v>
          </cell>
          <cell r="C348">
            <v>6276.0399107836238</v>
          </cell>
          <cell r="D348">
            <v>4679.1670389477722</v>
          </cell>
          <cell r="E348">
            <v>4510.435384409453</v>
          </cell>
          <cell r="F348">
            <v>5405.4656593372501</v>
          </cell>
          <cell r="G348">
            <v>4313.1547200815394</v>
          </cell>
          <cell r="H348">
            <v>3405.7567759182821</v>
          </cell>
          <cell r="I348">
            <v>3141.0638656926817</v>
          </cell>
          <cell r="J348">
            <v>3075.8557943717524</v>
          </cell>
          <cell r="K348">
            <v>3792.2374010667772</v>
          </cell>
          <cell r="L348">
            <v>2537.1354119734037</v>
          </cell>
          <cell r="M348">
            <v>2307.6465456466972</v>
          </cell>
          <cell r="N348">
            <v>1369.7446762326913</v>
          </cell>
          <cell r="O348">
            <v>1520.1711905550055</v>
          </cell>
          <cell r="P348">
            <v>1505.1844134579328</v>
          </cell>
          <cell r="Q348">
            <v>97.17905488785442</v>
          </cell>
          <cell r="R348">
            <v>278.36173843857296</v>
          </cell>
          <cell r="S348">
            <v>75.878014581734462</v>
          </cell>
          <cell r="U348">
            <v>931.90470167985791</v>
          </cell>
          <cell r="V348">
            <v>72.091183319638446</v>
          </cell>
          <cell r="W348">
            <v>39.263374236616002</v>
          </cell>
          <cell r="Y348">
            <v>1207.2574583496757</v>
          </cell>
          <cell r="Z348">
            <v>494.93023399494501</v>
          </cell>
          <cell r="AA348">
            <v>1644.2418</v>
          </cell>
          <cell r="AC348">
            <v>257.11849330665694</v>
          </cell>
          <cell r="AE348">
            <v>14.073600000000001</v>
          </cell>
          <cell r="AG348">
            <v>14.4216</v>
          </cell>
          <cell r="AH348">
            <v>3.8847999999999998</v>
          </cell>
          <cell r="BF348">
            <v>2.58</v>
          </cell>
          <cell r="BM348">
            <v>1.8652</v>
          </cell>
          <cell r="CJ348">
            <v>1.1923999999999999</v>
          </cell>
          <cell r="CW348">
            <v>2.5476999999999999</v>
          </cell>
          <cell r="DO348">
            <v>348</v>
          </cell>
        </row>
        <row r="349">
          <cell r="A349" t="str">
            <v>Tulsa, OK Metro Area</v>
          </cell>
          <cell r="B349">
            <v>2525.6255999999998</v>
          </cell>
          <cell r="C349">
            <v>3520.2867859435883</v>
          </cell>
          <cell r="D349">
            <v>4341.8876731370719</v>
          </cell>
          <cell r="E349">
            <v>3252.2065252649063</v>
          </cell>
          <cell r="F349">
            <v>3104.7039601655238</v>
          </cell>
          <cell r="G349">
            <v>4198.5448683451987</v>
          </cell>
          <cell r="H349">
            <v>2074.7522393568001</v>
          </cell>
          <cell r="I349">
            <v>4173.6653797074796</v>
          </cell>
          <cell r="J349">
            <v>3448.8301993407099</v>
          </cell>
          <cell r="K349">
            <v>2596.7930522870779</v>
          </cell>
          <cell r="L349">
            <v>2021.5795466482516</v>
          </cell>
          <cell r="M349">
            <v>1452.1774068514624</v>
          </cell>
          <cell r="N349">
            <v>2226.8701984772229</v>
          </cell>
          <cell r="O349">
            <v>1227.8343479908053</v>
          </cell>
          <cell r="P349">
            <v>1082.5244284309329</v>
          </cell>
          <cell r="Q349">
            <v>674.05581725126854</v>
          </cell>
          <cell r="R349">
            <v>371.47396975208483</v>
          </cell>
          <cell r="S349">
            <v>271.42332670479868</v>
          </cell>
          <cell r="T349">
            <v>300.1011470231681</v>
          </cell>
          <cell r="U349">
            <v>225.25659999999999</v>
          </cell>
          <cell r="V349">
            <v>94.073998652094716</v>
          </cell>
          <cell r="W349">
            <v>65.826198551814926</v>
          </cell>
          <cell r="X349">
            <v>699.57501139534884</v>
          </cell>
          <cell r="Y349">
            <v>813.91918359850831</v>
          </cell>
          <cell r="Z349">
            <v>1119.9210815446429</v>
          </cell>
          <cell r="AA349">
            <v>33.275274661246613</v>
          </cell>
          <cell r="AB349">
            <v>105.24832005457026</v>
          </cell>
          <cell r="AC349">
            <v>17.443174113311841</v>
          </cell>
          <cell r="AD349">
            <v>81.596333075601379</v>
          </cell>
          <cell r="AE349">
            <v>85.82378687392054</v>
          </cell>
          <cell r="AF349">
            <v>32.448</v>
          </cell>
          <cell r="AG349">
            <v>83.302009237668145</v>
          </cell>
          <cell r="AI349">
            <v>48.316200805987336</v>
          </cell>
          <cell r="AJ349">
            <v>20.106332003383617</v>
          </cell>
          <cell r="AK349">
            <v>82.110799999999983</v>
          </cell>
          <cell r="AL349">
            <v>615.46866808856089</v>
          </cell>
          <cell r="AM349">
            <v>478.8160053246516</v>
          </cell>
          <cell r="AN349">
            <v>13.128800000000002</v>
          </cell>
          <cell r="AO349">
            <v>38.372218782592206</v>
          </cell>
          <cell r="AP349">
            <v>454.72430000000003</v>
          </cell>
          <cell r="AR349">
            <v>39.842804723323567</v>
          </cell>
          <cell r="AU349">
            <v>6.7466999999999988</v>
          </cell>
          <cell r="AV349">
            <v>102.14498971390772</v>
          </cell>
          <cell r="AX349">
            <v>81.814099999999996</v>
          </cell>
          <cell r="AY349">
            <v>163.95150000000001</v>
          </cell>
          <cell r="BI349">
            <v>10.536550648026795</v>
          </cell>
          <cell r="DO349">
            <v>349</v>
          </cell>
        </row>
        <row r="350">
          <cell r="A350" t="str">
            <v>Tuscaloosa, AL Metro Area</v>
          </cell>
          <cell r="B350">
            <v>5756.5907182678175</v>
          </cell>
          <cell r="C350">
            <v>2807.3388293092698</v>
          </cell>
          <cell r="D350">
            <v>1760.4741904544655</v>
          </cell>
          <cell r="E350">
            <v>2042.2296219859811</v>
          </cell>
          <cell r="F350">
            <v>995.64185722208936</v>
          </cell>
          <cell r="G350">
            <v>581.6067303108241</v>
          </cell>
          <cell r="H350">
            <v>490.21882874036908</v>
          </cell>
          <cell r="I350">
            <v>251.67395216787102</v>
          </cell>
          <cell r="J350">
            <v>55.313200000000002</v>
          </cell>
          <cell r="L350">
            <v>66.353577149213407</v>
          </cell>
          <cell r="N350">
            <v>18.706874232309747</v>
          </cell>
          <cell r="O350">
            <v>23.914100000000001</v>
          </cell>
          <cell r="Q350">
            <v>22.042899999999999</v>
          </cell>
          <cell r="R350">
            <v>26.496400000000001</v>
          </cell>
          <cell r="T350">
            <v>39.209400000000002</v>
          </cell>
          <cell r="Z350">
            <v>112.73447802902463</v>
          </cell>
          <cell r="AF350">
            <v>19.460962573789846</v>
          </cell>
          <cell r="AH350">
            <v>24.6234</v>
          </cell>
          <cell r="AL350">
            <v>78.217100000000002</v>
          </cell>
          <cell r="AR350">
            <v>14.072399999999998</v>
          </cell>
          <cell r="AV350">
            <v>15.899899999999999</v>
          </cell>
          <cell r="DO350">
            <v>350</v>
          </cell>
        </row>
        <row r="351">
          <cell r="A351" t="str">
            <v>Tyler, TX Metro Area</v>
          </cell>
          <cell r="B351">
            <v>2907.7410751877646</v>
          </cell>
          <cell r="C351">
            <v>2511.5706153843339</v>
          </cell>
          <cell r="D351">
            <v>2181.3000096235442</v>
          </cell>
          <cell r="E351">
            <v>2430.9005369102297</v>
          </cell>
          <cell r="F351">
            <v>1916.1540888106967</v>
          </cell>
          <cell r="G351">
            <v>492.28731127418769</v>
          </cell>
          <cell r="H351">
            <v>376.79559999999998</v>
          </cell>
          <cell r="K351">
            <v>207.83150000000001</v>
          </cell>
          <cell r="L351">
            <v>622.39580000000001</v>
          </cell>
          <cell r="M351">
            <v>148.05013630224136</v>
          </cell>
          <cell r="N351">
            <v>94.210705770919574</v>
          </cell>
          <cell r="O351">
            <v>38.5608</v>
          </cell>
          <cell r="P351">
            <v>161.46626750727452</v>
          </cell>
          <cell r="Q351">
            <v>69.888400000000004</v>
          </cell>
          <cell r="S351">
            <v>58.679200000000002</v>
          </cell>
          <cell r="DO351">
            <v>351</v>
          </cell>
        </row>
        <row r="352">
          <cell r="A352" t="str">
            <v>Utica-Rome, NY Metro Area</v>
          </cell>
          <cell r="B352">
            <v>8347.9201820330836</v>
          </cell>
          <cell r="C352">
            <v>6488.07930644527</v>
          </cell>
          <cell r="D352">
            <v>2769.4760083104779</v>
          </cell>
          <cell r="E352">
            <v>1381.3594409808577</v>
          </cell>
          <cell r="F352">
            <v>523.40370731954124</v>
          </cell>
          <cell r="G352">
            <v>1674.9749861847858</v>
          </cell>
          <cell r="H352">
            <v>159.81427503054161</v>
          </cell>
          <cell r="I352">
            <v>145.85560000000001</v>
          </cell>
          <cell r="J352">
            <v>453.06139999999999</v>
          </cell>
          <cell r="K352">
            <v>1157.0522824561403</v>
          </cell>
          <cell r="L352">
            <v>122.9814986005003</v>
          </cell>
          <cell r="M352">
            <v>2319.4606996293064</v>
          </cell>
          <cell r="N352">
            <v>1971.4585</v>
          </cell>
          <cell r="O352">
            <v>2380.4633877860479</v>
          </cell>
          <cell r="P352">
            <v>1074.5687573643063</v>
          </cell>
          <cell r="Q352">
            <v>95.215059101628299</v>
          </cell>
          <cell r="R352">
            <v>105.59226191155491</v>
          </cell>
          <cell r="S352">
            <v>817.25059999999996</v>
          </cell>
          <cell r="T352">
            <v>1363.6344999999997</v>
          </cell>
          <cell r="U352">
            <v>541.80331778086952</v>
          </cell>
          <cell r="V352">
            <v>93.158900000000003</v>
          </cell>
          <cell r="W352">
            <v>40.753300000000003</v>
          </cell>
          <cell r="X352">
            <v>22.602699999999995</v>
          </cell>
          <cell r="Y352">
            <v>1369.2603999999999</v>
          </cell>
          <cell r="AA352">
            <v>21.985199999999999</v>
          </cell>
          <cell r="AB352">
            <v>50.059173178114087</v>
          </cell>
          <cell r="AC352">
            <v>94.747100000000003</v>
          </cell>
          <cell r="AG352">
            <v>92.680899999999994</v>
          </cell>
          <cell r="AP352">
            <v>3.3334999999999999</v>
          </cell>
          <cell r="DO352">
            <v>352</v>
          </cell>
        </row>
        <row r="353">
          <cell r="A353" t="str">
            <v>Valdosta, GA Metro Area</v>
          </cell>
          <cell r="B353">
            <v>2969.8028554815064</v>
          </cell>
          <cell r="C353">
            <v>2610.8968908500688</v>
          </cell>
          <cell r="D353">
            <v>2362.6449414947506</v>
          </cell>
          <cell r="E353">
            <v>1934.0975848108578</v>
          </cell>
          <cell r="F353">
            <v>440.52141393099845</v>
          </cell>
          <cell r="G353">
            <v>118.7637</v>
          </cell>
          <cell r="H353">
            <v>303.83940000000001</v>
          </cell>
          <cell r="I353">
            <v>221.37037694911976</v>
          </cell>
          <cell r="J353">
            <v>89.997993453670276</v>
          </cell>
          <cell r="L353">
            <v>141.77912087833997</v>
          </cell>
          <cell r="M353">
            <v>38.545400000000001</v>
          </cell>
          <cell r="O353">
            <v>26.496200000000002</v>
          </cell>
          <cell r="R353">
            <v>73.820148414314815</v>
          </cell>
          <cell r="S353">
            <v>59.495300000000007</v>
          </cell>
          <cell r="T353">
            <v>4.6740000000000004</v>
          </cell>
          <cell r="V353">
            <v>16.715233223684212</v>
          </cell>
          <cell r="AB353">
            <v>17.043299999999999</v>
          </cell>
          <cell r="DO353">
            <v>353</v>
          </cell>
        </row>
        <row r="354">
          <cell r="A354" t="str">
            <v>Vallejo-Fairfield, CA Metro Area</v>
          </cell>
          <cell r="B354">
            <v>8363.8644648548998</v>
          </cell>
          <cell r="C354">
            <v>5527.8990180936935</v>
          </cell>
          <cell r="D354">
            <v>6050.752439032226</v>
          </cell>
          <cell r="E354">
            <v>5476.4066799868879</v>
          </cell>
          <cell r="F354">
            <v>2354.6118244988861</v>
          </cell>
          <cell r="G354">
            <v>2577.1923391572454</v>
          </cell>
          <cell r="H354">
            <v>3948.0944824376984</v>
          </cell>
          <cell r="I354">
            <v>229.4171</v>
          </cell>
          <cell r="J354">
            <v>323.98719999999997</v>
          </cell>
          <cell r="L354">
            <v>140.14670000000001</v>
          </cell>
          <cell r="O354">
            <v>185.4872</v>
          </cell>
          <cell r="P354">
            <v>878.73470000000009</v>
          </cell>
          <cell r="Q354">
            <v>6274.174485588117</v>
          </cell>
          <cell r="R354">
            <v>6854.2696980928004</v>
          </cell>
          <cell r="S354">
            <v>7092.4426211210239</v>
          </cell>
          <cell r="T354">
            <v>4478.9832691945912</v>
          </cell>
          <cell r="U354">
            <v>186.12200897435898</v>
          </cell>
          <cell r="W354">
            <v>4391.8373070045254</v>
          </cell>
          <cell r="X354">
            <v>4419.0093351792111</v>
          </cell>
          <cell r="Y354">
            <v>7314.9070803046461</v>
          </cell>
          <cell r="Z354">
            <v>3312.797865875144</v>
          </cell>
          <cell r="AA354">
            <v>2317.7725646182494</v>
          </cell>
          <cell r="AB354">
            <v>48.262999999999998</v>
          </cell>
          <cell r="AC354">
            <v>160.53790000000001</v>
          </cell>
          <cell r="AF354">
            <v>25.751900000000003</v>
          </cell>
          <cell r="AH354">
            <v>973.74933976034845</v>
          </cell>
          <cell r="AI354">
            <v>3467.7272594779047</v>
          </cell>
          <cell r="DO354">
            <v>354</v>
          </cell>
        </row>
        <row r="355">
          <cell r="A355" t="str">
            <v>Victoria, TX Metro Area</v>
          </cell>
          <cell r="B355">
            <v>3704.1862999999998</v>
          </cell>
          <cell r="C355">
            <v>2661.4029399528044</v>
          </cell>
          <cell r="D355">
            <v>3654.4551016870232</v>
          </cell>
          <cell r="E355">
            <v>3702.226241635306</v>
          </cell>
          <cell r="F355">
            <v>1167.3024</v>
          </cell>
          <cell r="G355">
            <v>558.87485916955029</v>
          </cell>
          <cell r="H355">
            <v>57.031219615759426</v>
          </cell>
          <cell r="I355">
            <v>10.7636</v>
          </cell>
          <cell r="J355">
            <v>26.355599999999999</v>
          </cell>
          <cell r="L355">
            <v>49.528799999999997</v>
          </cell>
          <cell r="N355">
            <v>13.867599999999999</v>
          </cell>
          <cell r="T355">
            <v>15.672599999999999</v>
          </cell>
          <cell r="AA355">
            <v>684.26400275516596</v>
          </cell>
          <cell r="AB355">
            <v>3782.6943999999999</v>
          </cell>
          <cell r="AD355">
            <v>5.0197000000000003</v>
          </cell>
          <cell r="AH355">
            <v>27.507400000000001</v>
          </cell>
          <cell r="AJ355">
            <v>12.6548</v>
          </cell>
          <cell r="DO355">
            <v>355</v>
          </cell>
        </row>
        <row r="356">
          <cell r="A356" t="str">
            <v>Vineland-Millville-Bridgeton, NJ Metro Area</v>
          </cell>
          <cell r="B356">
            <v>4392.2731595890846</v>
          </cell>
          <cell r="C356">
            <v>2181.3398720869186</v>
          </cell>
          <cell r="D356">
            <v>705.32248005257975</v>
          </cell>
          <cell r="E356">
            <v>388.57503968749995</v>
          </cell>
          <cell r="G356">
            <v>505.80630000000002</v>
          </cell>
          <cell r="H356">
            <v>3766.3404082777138</v>
          </cell>
          <cell r="I356">
            <v>375.00700220946601</v>
          </cell>
          <cell r="L356">
            <v>745.72543028426685</v>
          </cell>
          <cell r="M356">
            <v>4269.7347264633891</v>
          </cell>
          <cell r="N356">
            <v>2549.67829162726</v>
          </cell>
          <cell r="O356">
            <v>109.30445599248739</v>
          </cell>
          <cell r="R356">
            <v>33.453600000000002</v>
          </cell>
          <cell r="S356">
            <v>1456.4308657635468</v>
          </cell>
          <cell r="DO356">
            <v>356</v>
          </cell>
        </row>
        <row r="357">
          <cell r="A357" t="str">
            <v>Virginia Beach-Norfolk-Newport News, VA-NC Metro Area</v>
          </cell>
          <cell r="C357">
            <v>1717.8339093494114</v>
          </cell>
          <cell r="E357">
            <v>3913.5973940124113</v>
          </cell>
          <cell r="F357">
            <v>5409.672243425819</v>
          </cell>
          <cell r="G357">
            <v>5951.8187039606073</v>
          </cell>
          <cell r="H357">
            <v>5163.7685897731353</v>
          </cell>
          <cell r="I357">
            <v>5099.2833981105987</v>
          </cell>
          <cell r="J357">
            <v>2938.4569259418154</v>
          </cell>
          <cell r="K357">
            <v>3835.5760812620215</v>
          </cell>
          <cell r="L357">
            <v>3376.0465473011318</v>
          </cell>
          <cell r="M357">
            <v>3900.6296608554353</v>
          </cell>
          <cell r="N357">
            <v>2950.9454019753848</v>
          </cell>
          <cell r="O357">
            <v>5600.6260921575567</v>
          </cell>
          <cell r="P357">
            <v>6150.0288443846675</v>
          </cell>
          <cell r="Q357">
            <v>4391.1608378457131</v>
          </cell>
          <cell r="R357">
            <v>5349.1466244105814</v>
          </cell>
          <cell r="S357">
            <v>3892.5514878219469</v>
          </cell>
          <cell r="T357">
            <v>3523.9101486705199</v>
          </cell>
          <cell r="U357">
            <v>3035.2541134940279</v>
          </cell>
          <cell r="V357">
            <v>2856.0185496446111</v>
          </cell>
          <cell r="W357">
            <v>3090.648555693816</v>
          </cell>
          <cell r="X357">
            <v>938.30555140099636</v>
          </cell>
          <cell r="Y357">
            <v>3206.8951006821985</v>
          </cell>
          <cell r="Z357">
            <v>4748.2720055827131</v>
          </cell>
          <cell r="AA357">
            <v>4321.9295689326591</v>
          </cell>
          <cell r="AB357">
            <v>2924.8263215628454</v>
          </cell>
          <cell r="AC357">
            <v>3054.2675762475778</v>
          </cell>
          <cell r="AD357">
            <v>3332.3143945382844</v>
          </cell>
          <cell r="AE357">
            <v>2355.0863899326296</v>
          </cell>
          <cell r="AF357">
            <v>2108.1148536414889</v>
          </cell>
          <cell r="AG357">
            <v>3728.6176211657735</v>
          </cell>
          <cell r="AH357">
            <v>2860.6241002563083</v>
          </cell>
          <cell r="AI357">
            <v>1709.5090185970162</v>
          </cell>
          <cell r="AJ357">
            <v>2099.8262017964294</v>
          </cell>
          <cell r="AK357">
            <v>4029.4933232268945</v>
          </cell>
          <cell r="AL357">
            <v>2600.4004329708569</v>
          </cell>
          <cell r="AM357">
            <v>3852.1269708724385</v>
          </cell>
          <cell r="AN357">
            <v>2372.290843309082</v>
          </cell>
          <cell r="AO357">
            <v>3596.6856999999995</v>
          </cell>
          <cell r="AP357">
            <v>2999.5302672299536</v>
          </cell>
          <cell r="AQ357">
            <v>66.804699999999997</v>
          </cell>
          <cell r="AR357">
            <v>253.39239269601103</v>
          </cell>
          <cell r="AS357">
            <v>867.00059975062345</v>
          </cell>
          <cell r="AT357">
            <v>401.37990000000002</v>
          </cell>
          <cell r="AU357">
            <v>62.925500000000007</v>
          </cell>
          <cell r="AV357">
            <v>84.657399999999996</v>
          </cell>
          <cell r="AW357">
            <v>515.67891805951092</v>
          </cell>
          <cell r="AX357">
            <v>343.43920000000003</v>
          </cell>
          <cell r="AY357">
            <v>913.65089999999998</v>
          </cell>
          <cell r="AZ357">
            <v>686.95079963667956</v>
          </cell>
          <cell r="BA357">
            <v>1398.1639581349625</v>
          </cell>
          <cell r="BB357">
            <v>242.82889789036835</v>
          </cell>
          <cell r="BC357">
            <v>362.51719436027759</v>
          </cell>
          <cell r="BD357">
            <v>380.67881116065115</v>
          </cell>
          <cell r="BF357">
            <v>198.94620000000003</v>
          </cell>
          <cell r="BH357">
            <v>173.60827875418138</v>
          </cell>
          <cell r="BK357">
            <v>100.12990000000001</v>
          </cell>
          <cell r="DO357">
            <v>357</v>
          </cell>
        </row>
        <row r="358">
          <cell r="A358" t="str">
            <v>Visalia-Porterville, CA Metro Area</v>
          </cell>
          <cell r="B358">
            <v>7720.8424097182642</v>
          </cell>
          <cell r="C358">
            <v>3100.6691681882935</v>
          </cell>
          <cell r="D358">
            <v>3538.509145888755</v>
          </cell>
          <cell r="E358">
            <v>3737.7331431386347</v>
          </cell>
          <cell r="F358">
            <v>383.13242193829853</v>
          </cell>
          <cell r="G358">
            <v>1572.250758222639</v>
          </cell>
          <cell r="I358">
            <v>2309.7820211510793</v>
          </cell>
          <cell r="J358">
            <v>2721.2373658207025</v>
          </cell>
          <cell r="K358">
            <v>4409.2871719870082</v>
          </cell>
          <cell r="L358">
            <v>1239.9328</v>
          </cell>
          <cell r="M358">
            <v>169.2055</v>
          </cell>
          <cell r="N358">
            <v>2503.2812939812152</v>
          </cell>
          <cell r="O358">
            <v>640.98856399916565</v>
          </cell>
          <cell r="P358">
            <v>2452.8666030409677</v>
          </cell>
          <cell r="Q358">
            <v>3371.7584352655049</v>
          </cell>
          <cell r="R358">
            <v>2793.1000697446661</v>
          </cell>
          <cell r="S358">
            <v>124.9359</v>
          </cell>
          <cell r="T358">
            <v>29.156294756277699</v>
          </cell>
          <cell r="W358">
            <v>3988.0097374969505</v>
          </cell>
          <cell r="X358">
            <v>2735.1191428533189</v>
          </cell>
          <cell r="Y358">
            <v>3081.7015869273741</v>
          </cell>
          <cell r="Z358">
            <v>3784.8892410437061</v>
          </cell>
          <cell r="AA358">
            <v>104.43904102200143</v>
          </cell>
          <cell r="AB358">
            <v>1906.6187999999997</v>
          </cell>
          <cell r="AF358">
            <v>48.2913</v>
          </cell>
          <cell r="AG358">
            <v>1638.7904000000001</v>
          </cell>
          <cell r="AH358">
            <v>2.3611</v>
          </cell>
          <cell r="AI358">
            <v>28.606000000000002</v>
          </cell>
          <cell r="DO358">
            <v>358</v>
          </cell>
        </row>
        <row r="359">
          <cell r="A359" t="str">
            <v>Waco, TX Metro Area</v>
          </cell>
          <cell r="B359">
            <v>4258.7364818181813</v>
          </cell>
          <cell r="C359">
            <v>3696.1637601399652</v>
          </cell>
          <cell r="D359">
            <v>4438.3479552930403</v>
          </cell>
          <cell r="E359">
            <v>1855.9052590728315</v>
          </cell>
          <cell r="F359">
            <v>1941.3508618823762</v>
          </cell>
          <cell r="G359">
            <v>1124.0922182576578</v>
          </cell>
          <cell r="H359">
            <v>131.2268</v>
          </cell>
          <cell r="I359">
            <v>517.14087321517729</v>
          </cell>
          <cell r="J359">
            <v>537.34043277078433</v>
          </cell>
          <cell r="K359">
            <v>96.299099999999996</v>
          </cell>
          <cell r="L359">
            <v>36.979900000000001</v>
          </cell>
          <cell r="M359">
            <v>49.212500000000006</v>
          </cell>
          <cell r="N359">
            <v>94.093892498443651</v>
          </cell>
          <cell r="O359">
            <v>51.364899999999999</v>
          </cell>
          <cell r="Q359">
            <v>61.087734843581444</v>
          </cell>
          <cell r="R359">
            <v>90.781438797814204</v>
          </cell>
          <cell r="U359">
            <v>67.203100000000006</v>
          </cell>
          <cell r="DO359">
            <v>359</v>
          </cell>
        </row>
        <row r="360">
          <cell r="A360" t="str">
            <v>Warner Robins, GA Metro Area</v>
          </cell>
          <cell r="B360">
            <v>2394.9285605916357</v>
          </cell>
          <cell r="C360">
            <v>1954.0646967937901</v>
          </cell>
          <cell r="D360">
            <v>2393.887077969272</v>
          </cell>
          <cell r="E360">
            <v>1315.8547000000001</v>
          </cell>
          <cell r="F360">
            <v>1220.8483206939902</v>
          </cell>
          <cell r="G360">
            <v>253.7123</v>
          </cell>
          <cell r="H360">
            <v>717.82520878274272</v>
          </cell>
          <cell r="I360">
            <v>304.96230000000008</v>
          </cell>
          <cell r="M360">
            <v>338.13540331559557</v>
          </cell>
          <cell r="P360">
            <v>127.64530000000001</v>
          </cell>
          <cell r="S360">
            <v>21.105599999999999</v>
          </cell>
          <cell r="DO360">
            <v>360</v>
          </cell>
        </row>
        <row r="361">
          <cell r="A361" t="str">
            <v>Washington-Arlington-Alexandria, DC-VA-MD-WV Metro Area</v>
          </cell>
          <cell r="B361">
            <v>29259.507418180074</v>
          </cell>
          <cell r="C361">
            <v>22974.171817088743</v>
          </cell>
          <cell r="D361">
            <v>22535.350953092831</v>
          </cell>
          <cell r="E361">
            <v>11636.278254824278</v>
          </cell>
          <cell r="F361">
            <v>12095.330588951396</v>
          </cell>
          <cell r="G361">
            <v>10037.481852362178</v>
          </cell>
          <cell r="H361">
            <v>9063.1982269246073</v>
          </cell>
          <cell r="I361">
            <v>8565.7139868299364</v>
          </cell>
          <cell r="J361">
            <v>6897.7346207297032</v>
          </cell>
          <cell r="K361">
            <v>4807.846265989313</v>
          </cell>
          <cell r="L361">
            <v>4790.218980374063</v>
          </cell>
          <cell r="M361">
            <v>4688.4160426575472</v>
          </cell>
          <cell r="N361">
            <v>3828.3914814389545</v>
          </cell>
          <cell r="O361">
            <v>4799.2359550256997</v>
          </cell>
          <cell r="P361">
            <v>3691.1650791139814</v>
          </cell>
          <cell r="Q361">
            <v>3236.1721147564094</v>
          </cell>
          <cell r="R361">
            <v>3599.9467619961792</v>
          </cell>
          <cell r="S361">
            <v>3262.6609825688315</v>
          </cell>
          <cell r="T361">
            <v>3427.2589573735236</v>
          </cell>
          <cell r="U361">
            <v>4166.825094207551</v>
          </cell>
          <cell r="V361">
            <v>5107.8701329177611</v>
          </cell>
          <cell r="W361">
            <v>4252.9520373947798</v>
          </cell>
          <cell r="X361">
            <v>4866.4889051536084</v>
          </cell>
          <cell r="Y361">
            <v>3063.2525553916412</v>
          </cell>
          <cell r="Z361">
            <v>4397.8550510867644</v>
          </cell>
          <cell r="AA361">
            <v>2651.890204051062</v>
          </cell>
          <cell r="AB361">
            <v>2889.0498374671229</v>
          </cell>
          <cell r="AC361">
            <v>1430.6689221845179</v>
          </cell>
          <cell r="AD361">
            <v>1188.472598068837</v>
          </cell>
          <cell r="AE361">
            <v>693.07746657436951</v>
          </cell>
          <cell r="AF361">
            <v>553.23674284890194</v>
          </cell>
          <cell r="AG361">
            <v>2654.6074082665937</v>
          </cell>
          <cell r="AH361">
            <v>524.56881796391917</v>
          </cell>
          <cell r="AI361">
            <v>884.75624273949268</v>
          </cell>
          <cell r="AJ361">
            <v>769.26425583007733</v>
          </cell>
          <cell r="AK361">
            <v>147.10046097354299</v>
          </cell>
          <cell r="AL361">
            <v>1596.6947215695861</v>
          </cell>
          <cell r="AM361">
            <v>1439.9817902794059</v>
          </cell>
          <cell r="AN361">
            <v>763.07133914935901</v>
          </cell>
          <cell r="AO361">
            <v>1532.1168668033422</v>
          </cell>
          <cell r="AP361">
            <v>199.65739795687455</v>
          </cell>
          <cell r="AQ361">
            <v>2901.9477046005682</v>
          </cell>
          <cell r="AR361">
            <v>3084.0883659671199</v>
          </cell>
          <cell r="AS361">
            <v>1545.5958180795926</v>
          </cell>
          <cell r="AT361">
            <v>828.29133532891751</v>
          </cell>
          <cell r="AU361">
            <v>891.27916674079347</v>
          </cell>
          <cell r="AV361">
            <v>490.26048107986378</v>
          </cell>
          <cell r="AW361">
            <v>1718.9096339744535</v>
          </cell>
          <cell r="AX361">
            <v>600.75891222254938</v>
          </cell>
          <cell r="AY361">
            <v>917.04136867534316</v>
          </cell>
          <cell r="AZ361">
            <v>1249.3880572941639</v>
          </cell>
          <cell r="BA361">
            <v>1439.7331059411872</v>
          </cell>
          <cell r="BB361">
            <v>1586.8880037572258</v>
          </cell>
          <cell r="BC361">
            <v>576.61479019145668</v>
          </cell>
          <cell r="BD361">
            <v>181.5555328103643</v>
          </cell>
          <cell r="BE361">
            <v>364.89399047514058</v>
          </cell>
          <cell r="BF361">
            <v>142.76178399372984</v>
          </cell>
          <cell r="BG361">
            <v>95.592702043557523</v>
          </cell>
          <cell r="BH361">
            <v>216.30598803677779</v>
          </cell>
          <cell r="BJ361">
            <v>337.24787840545429</v>
          </cell>
          <cell r="BL361">
            <v>1784.2689758950935</v>
          </cell>
          <cell r="BM361">
            <v>1233.5542693828997</v>
          </cell>
          <cell r="BN361">
            <v>74.030500000000004</v>
          </cell>
          <cell r="BO361">
            <v>48.524200000000008</v>
          </cell>
          <cell r="BP361">
            <v>123.1738</v>
          </cell>
          <cell r="BQ361">
            <v>53.714500000000008</v>
          </cell>
          <cell r="BR361">
            <v>58.081600000000002</v>
          </cell>
          <cell r="DO361">
            <v>361</v>
          </cell>
        </row>
        <row r="362">
          <cell r="A362" t="str">
            <v>Waterloo-Cedar Falls, IA Metro Area</v>
          </cell>
          <cell r="B362">
            <v>5043.1769503059695</v>
          </cell>
          <cell r="C362">
            <v>3298.8768978274611</v>
          </cell>
          <cell r="D362">
            <v>2934.4686216421242</v>
          </cell>
          <cell r="E362">
            <v>1285.821335233979</v>
          </cell>
          <cell r="F362">
            <v>1962.4462749579266</v>
          </cell>
          <cell r="G362">
            <v>858.95344497131111</v>
          </cell>
          <cell r="H362">
            <v>6370.099519400128</v>
          </cell>
          <cell r="I362">
            <v>135.90415921257267</v>
          </cell>
          <cell r="J362">
            <v>31.323</v>
          </cell>
          <cell r="K362">
            <v>21.652899999999999</v>
          </cell>
          <cell r="N362">
            <v>90.76961446305188</v>
          </cell>
          <cell r="P362">
            <v>23.262</v>
          </cell>
          <cell r="Q362">
            <v>32.186199999999999</v>
          </cell>
          <cell r="R362">
            <v>235.3192</v>
          </cell>
          <cell r="S362">
            <v>617.5114946976114</v>
          </cell>
          <cell r="V362">
            <v>29.485700000000005</v>
          </cell>
          <cell r="Z362">
            <v>42.87192634032634</v>
          </cell>
          <cell r="AA362">
            <v>15.061999999999999</v>
          </cell>
          <cell r="AC362">
            <v>320.9101</v>
          </cell>
          <cell r="AH362">
            <v>17.321999999999999</v>
          </cell>
          <cell r="DO362">
            <v>362</v>
          </cell>
        </row>
        <row r="363">
          <cell r="A363" t="str">
            <v>Wausau, WI Metro Area</v>
          </cell>
          <cell r="B363">
            <v>3231.324853548997</v>
          </cell>
          <cell r="C363">
            <v>2393.7179559560832</v>
          </cell>
          <cell r="E363">
            <v>563.30694739009584</v>
          </cell>
          <cell r="F363">
            <v>692.00467773369462</v>
          </cell>
          <cell r="G363">
            <v>703.01190635183298</v>
          </cell>
          <cell r="K363">
            <v>106.44580000000001</v>
          </cell>
          <cell r="M363">
            <v>140.11500000000001</v>
          </cell>
          <cell r="N363">
            <v>23.519200000000001</v>
          </cell>
          <cell r="O363">
            <v>57.152999999999999</v>
          </cell>
          <cell r="S363">
            <v>25.759599999999999</v>
          </cell>
          <cell r="T363">
            <v>26.515902274241125</v>
          </cell>
          <cell r="Y363">
            <v>50.079000000000001</v>
          </cell>
          <cell r="AF363">
            <v>32.121400000000001</v>
          </cell>
          <cell r="AI363">
            <v>60.900199999999998</v>
          </cell>
          <cell r="DO363">
            <v>363</v>
          </cell>
        </row>
        <row r="364">
          <cell r="A364" t="str">
            <v>Wenatchee-East Wenatchee, WA Metro Area</v>
          </cell>
          <cell r="B364">
            <v>5705.1112999999996</v>
          </cell>
          <cell r="C364">
            <v>2180.0961226580484</v>
          </cell>
          <cell r="D364">
            <v>1337.0499612782542</v>
          </cell>
          <cell r="F364">
            <v>66.790937219730935</v>
          </cell>
          <cell r="G364">
            <v>29.162500000000001</v>
          </cell>
          <cell r="K364">
            <v>1127.9872</v>
          </cell>
          <cell r="N364">
            <v>21.395399999999999</v>
          </cell>
          <cell r="U364">
            <v>2.3931</v>
          </cell>
          <cell r="X364">
            <v>1.9103999999999999</v>
          </cell>
          <cell r="Y364">
            <v>6.003400000000001</v>
          </cell>
          <cell r="AH364">
            <v>35.404600000000002</v>
          </cell>
          <cell r="AI364">
            <v>61.690399999999997</v>
          </cell>
          <cell r="AQ364">
            <v>6.9207999999999998</v>
          </cell>
          <cell r="DO364">
            <v>364</v>
          </cell>
        </row>
        <row r="365">
          <cell r="A365" t="str">
            <v>Wheeling, WV-OH Metro Area</v>
          </cell>
          <cell r="B365">
            <v>3014.7332972709551</v>
          </cell>
          <cell r="C365">
            <v>3321.9726718871993</v>
          </cell>
          <cell r="D365">
            <v>1226.065788882813</v>
          </cell>
          <cell r="E365">
            <v>1572.6743695581654</v>
          </cell>
          <cell r="F365">
            <v>475.25807879125591</v>
          </cell>
          <cell r="G365">
            <v>388.96979104416016</v>
          </cell>
          <cell r="H365">
            <v>1564.2934</v>
          </cell>
          <cell r="I365">
            <v>142.33356743263352</v>
          </cell>
          <cell r="J365">
            <v>419.99694131866687</v>
          </cell>
          <cell r="K365">
            <v>492.76850000000002</v>
          </cell>
          <cell r="L365">
            <v>555.51672474193549</v>
          </cell>
          <cell r="N365">
            <v>146.60910000000001</v>
          </cell>
          <cell r="P365">
            <v>71.321899999999999</v>
          </cell>
          <cell r="Q365">
            <v>33.559100000000001</v>
          </cell>
          <cell r="S365">
            <v>48.38829145865374</v>
          </cell>
          <cell r="T365">
            <v>246.15808633093525</v>
          </cell>
          <cell r="Y365">
            <v>101.0204</v>
          </cell>
          <cell r="DO365">
            <v>365</v>
          </cell>
        </row>
        <row r="366">
          <cell r="A366" t="str">
            <v>Wichita, KS Metro Area</v>
          </cell>
          <cell r="B366">
            <v>1558.4374585636856</v>
          </cell>
          <cell r="C366">
            <v>3870.8059222006787</v>
          </cell>
          <cell r="D366">
            <v>2423.5533695283016</v>
          </cell>
          <cell r="E366">
            <v>1479.3713393652376</v>
          </cell>
          <cell r="F366">
            <v>2527.1857030722304</v>
          </cell>
          <cell r="G366">
            <v>492.66869100237278</v>
          </cell>
          <cell r="H366">
            <v>1631.8407</v>
          </cell>
          <cell r="I366">
            <v>34.878900000000002</v>
          </cell>
          <cell r="L366">
            <v>906.63729999999998</v>
          </cell>
          <cell r="M366">
            <v>209.56592729013727</v>
          </cell>
          <cell r="N366">
            <v>8.3362999999999996</v>
          </cell>
          <cell r="O366">
            <v>1682.4511</v>
          </cell>
          <cell r="S366">
            <v>5.7718999999999996</v>
          </cell>
          <cell r="T366">
            <v>223.7295</v>
          </cell>
          <cell r="X366">
            <v>10.935700000000001</v>
          </cell>
          <cell r="AA366">
            <v>517.15140069703352</v>
          </cell>
          <cell r="DO366">
            <v>366</v>
          </cell>
        </row>
        <row r="367">
          <cell r="A367" t="str">
            <v>Wichita Falls, TX Metro Area</v>
          </cell>
          <cell r="B367">
            <v>2894.703</v>
          </cell>
          <cell r="C367">
            <v>4296.404102886152</v>
          </cell>
          <cell r="D367">
            <v>4336.2062360464088</v>
          </cell>
          <cell r="E367">
            <v>3938.8169317108664</v>
          </cell>
          <cell r="F367">
            <v>3553.4030794324985</v>
          </cell>
          <cell r="G367">
            <v>2850.3639274973448</v>
          </cell>
          <cell r="H367">
            <v>2135.111559839936</v>
          </cell>
          <cell r="I367">
            <v>2300.6300205783841</v>
          </cell>
          <cell r="J367">
            <v>1234.8480935821874</v>
          </cell>
          <cell r="K367">
            <v>1044.5184181008021</v>
          </cell>
          <cell r="L367">
            <v>656.25921472513983</v>
          </cell>
          <cell r="M367">
            <v>3149.8780999999999</v>
          </cell>
          <cell r="N367">
            <v>216.39076662583133</v>
          </cell>
          <cell r="O367">
            <v>223.17789999999999</v>
          </cell>
          <cell r="P367">
            <v>330.55856761744963</v>
          </cell>
          <cell r="Q367">
            <v>247.7038</v>
          </cell>
          <cell r="R367">
            <v>27.281099999999999</v>
          </cell>
          <cell r="S367">
            <v>34.742199999999997</v>
          </cell>
          <cell r="T367">
            <v>44.75705711677643</v>
          </cell>
          <cell r="U367">
            <v>1732.7330999999999</v>
          </cell>
          <cell r="V367">
            <v>484.10837105141263</v>
          </cell>
          <cell r="W367">
            <v>26.354600000000005</v>
          </cell>
          <cell r="X367">
            <v>52.046399999999998</v>
          </cell>
          <cell r="Y367">
            <v>583.25814026247951</v>
          </cell>
          <cell r="AA367">
            <v>330.07778580603724</v>
          </cell>
          <cell r="AB367">
            <v>2124.2152000000001</v>
          </cell>
          <cell r="AC367">
            <v>2216.1613000000002</v>
          </cell>
          <cell r="AD367">
            <v>662.82050000000004</v>
          </cell>
          <cell r="AE367">
            <v>165.60111147881167</v>
          </cell>
          <cell r="AF367">
            <v>24.5809</v>
          </cell>
          <cell r="AG367">
            <v>7.7214999999999998</v>
          </cell>
          <cell r="AH367">
            <v>10.2982</v>
          </cell>
          <cell r="AT367">
            <v>7.2708000000000004</v>
          </cell>
          <cell r="DO367">
            <v>367</v>
          </cell>
        </row>
        <row r="368">
          <cell r="A368" t="str">
            <v>Williamsport, PA Metro Area</v>
          </cell>
          <cell r="B368">
            <v>5704.145549197764</v>
          </cell>
          <cell r="C368">
            <v>5476.0789896301249</v>
          </cell>
          <cell r="D368">
            <v>1269.3183279425725</v>
          </cell>
          <cell r="E368">
            <v>458.52862077922077</v>
          </cell>
          <cell r="F368">
            <v>1324.3517999999999</v>
          </cell>
          <cell r="H368">
            <v>80.744900000000001</v>
          </cell>
          <cell r="I368">
            <v>134.73289723830388</v>
          </cell>
          <cell r="J368">
            <v>35.759599999999999</v>
          </cell>
          <cell r="L368">
            <v>64.456036650345609</v>
          </cell>
          <cell r="N368">
            <v>198.90479999999999</v>
          </cell>
          <cell r="O368">
            <v>706.08799999999997</v>
          </cell>
          <cell r="P368">
            <v>186.3235</v>
          </cell>
          <cell r="S368">
            <v>9.2647999999999993</v>
          </cell>
          <cell r="U368">
            <v>4.7691999999999997</v>
          </cell>
          <cell r="V368">
            <v>38.103000000000002</v>
          </cell>
          <cell r="DO368">
            <v>368</v>
          </cell>
        </row>
        <row r="369">
          <cell r="A369" t="str">
            <v>Wilmington, NC Metro Area</v>
          </cell>
          <cell r="B369">
            <v>3366.7609453634973</v>
          </cell>
          <cell r="C369">
            <v>3887.5371191909776</v>
          </cell>
          <cell r="D369">
            <v>2159.7313634811767</v>
          </cell>
          <cell r="E369">
            <v>1928.592779485424</v>
          </cell>
          <cell r="F369">
            <v>1879.3469250681569</v>
          </cell>
          <cell r="G369">
            <v>1114.4872874470709</v>
          </cell>
          <cell r="H369">
            <v>1244.3132126843784</v>
          </cell>
          <cell r="I369">
            <v>717.3134379044069</v>
          </cell>
          <cell r="J369">
            <v>792.06433380270551</v>
          </cell>
          <cell r="K369">
            <v>633.97172552946972</v>
          </cell>
          <cell r="L369">
            <v>522.46801683870399</v>
          </cell>
          <cell r="M369">
            <v>61.1634533596838</v>
          </cell>
          <cell r="O369">
            <v>1380.6469</v>
          </cell>
          <cell r="P369">
            <v>938.44100000000003</v>
          </cell>
          <cell r="Q369">
            <v>138.14420768820432</v>
          </cell>
          <cell r="R369">
            <v>337.31700000000001</v>
          </cell>
          <cell r="U369">
            <v>74.428600000000003</v>
          </cell>
          <cell r="V369">
            <v>201.4056723658052</v>
          </cell>
          <cell r="W369">
            <v>176.05648130129833</v>
          </cell>
          <cell r="X369">
            <v>77.882662724584932</v>
          </cell>
          <cell r="Y369">
            <v>386.67189999999999</v>
          </cell>
          <cell r="Z369">
            <v>585.71297012779542</v>
          </cell>
          <cell r="AA369">
            <v>576.44594405132193</v>
          </cell>
          <cell r="AB369">
            <v>184.347339795501</v>
          </cell>
          <cell r="AC369">
            <v>9.0405999999999995</v>
          </cell>
          <cell r="AD369">
            <v>179.3228</v>
          </cell>
          <cell r="AE369">
            <v>138.94036547114445</v>
          </cell>
          <cell r="AF369">
            <v>173.99976301369864</v>
          </cell>
          <cell r="AH369">
            <v>212.41169999999997</v>
          </cell>
          <cell r="AJ369">
            <v>531.2799</v>
          </cell>
          <cell r="AL369">
            <v>49.477600000000002</v>
          </cell>
          <cell r="AM369">
            <v>109.8749</v>
          </cell>
          <cell r="AN369">
            <v>680.92556666666667</v>
          </cell>
          <cell r="AP369">
            <v>257.33280000000002</v>
          </cell>
          <cell r="AQ369">
            <v>119.6867</v>
          </cell>
          <cell r="AR369">
            <v>402.67989999999998</v>
          </cell>
          <cell r="DO369">
            <v>369</v>
          </cell>
        </row>
        <row r="370">
          <cell r="A370" t="str">
            <v>Winchester, VA-WV Metro Area</v>
          </cell>
          <cell r="B370">
            <v>4056.3740192284554</v>
          </cell>
          <cell r="C370">
            <v>1291.262165225799</v>
          </cell>
          <cell r="D370">
            <v>1398.0928250128227</v>
          </cell>
          <cell r="E370">
            <v>576.51348155529502</v>
          </cell>
          <cell r="F370">
            <v>118.0095</v>
          </cell>
          <cell r="G370">
            <v>589.20051948639116</v>
          </cell>
          <cell r="H370">
            <v>668.85220000000004</v>
          </cell>
          <cell r="I370">
            <v>112.788</v>
          </cell>
          <cell r="J370">
            <v>203.79339999999999</v>
          </cell>
          <cell r="L370">
            <v>44.2819</v>
          </cell>
          <cell r="M370">
            <v>69.839332942689722</v>
          </cell>
          <cell r="U370">
            <v>26.105799999999999</v>
          </cell>
          <cell r="W370">
            <v>25.925899999999999</v>
          </cell>
          <cell r="AE370">
            <v>39.0764</v>
          </cell>
          <cell r="AF370">
            <v>33.384700000000002</v>
          </cell>
          <cell r="AJ370">
            <v>39.427999999999997</v>
          </cell>
          <cell r="DO370">
            <v>370</v>
          </cell>
        </row>
        <row r="371">
          <cell r="A371" t="str">
            <v>Winston-Salem, NC Metro Area</v>
          </cell>
          <cell r="B371">
            <v>2754.6941188706564</v>
          </cell>
          <cell r="C371">
            <v>3721.1885198813052</v>
          </cell>
          <cell r="D371">
            <v>2219.1782279260638</v>
          </cell>
          <cell r="E371">
            <v>1595.1169215248051</v>
          </cell>
          <cell r="F371">
            <v>1681.7804503188731</v>
          </cell>
          <cell r="G371">
            <v>1324.6147094241683</v>
          </cell>
          <cell r="H371">
            <v>1111.577421892425</v>
          </cell>
          <cell r="I371">
            <v>593.50611809187274</v>
          </cell>
          <cell r="J371">
            <v>894.56648271786833</v>
          </cell>
          <cell r="K371">
            <v>505.50570042622542</v>
          </cell>
          <cell r="L371">
            <v>552.50368766868962</v>
          </cell>
          <cell r="M371">
            <v>191.32640000000001</v>
          </cell>
          <cell r="N371">
            <v>127.06180000000001</v>
          </cell>
          <cell r="P371">
            <v>351.54358592649106</v>
          </cell>
          <cell r="Q371">
            <v>134.85569375975038</v>
          </cell>
          <cell r="R371">
            <v>96.961299999999994</v>
          </cell>
          <cell r="S371">
            <v>90.861099999999993</v>
          </cell>
          <cell r="U371">
            <v>104.64081528201649</v>
          </cell>
          <cell r="W371">
            <v>180.69759826689773</v>
          </cell>
          <cell r="X371">
            <v>166.82939999999996</v>
          </cell>
          <cell r="Y371">
            <v>184.7433</v>
          </cell>
          <cell r="Z371">
            <v>94.516803769720212</v>
          </cell>
          <cell r="AB371">
            <v>50.837299999999999</v>
          </cell>
          <cell r="AC371">
            <v>96.14</v>
          </cell>
          <cell r="AF371">
            <v>88.650599999999997</v>
          </cell>
          <cell r="AI371">
            <v>153.12540000000001</v>
          </cell>
          <cell r="DO371">
            <v>371</v>
          </cell>
        </row>
        <row r="372">
          <cell r="A372" t="str">
            <v>Worcester, MA Metro Area</v>
          </cell>
          <cell r="B372">
            <v>14090.352743536474</v>
          </cell>
          <cell r="C372">
            <v>9907.998879453502</v>
          </cell>
          <cell r="D372">
            <v>3606.9545418316316</v>
          </cell>
          <cell r="E372">
            <v>3754.1341182279734</v>
          </cell>
          <cell r="F372">
            <v>1598.836480721847</v>
          </cell>
          <cell r="G372">
            <v>1199.5127905008951</v>
          </cell>
          <cell r="H372">
            <v>543.45455783043701</v>
          </cell>
          <cell r="I372">
            <v>702.14667639865502</v>
          </cell>
          <cell r="J372">
            <v>510.02838448048271</v>
          </cell>
          <cell r="K372">
            <v>1069.2726524198602</v>
          </cell>
          <cell r="L372">
            <v>1058.5236065308254</v>
          </cell>
          <cell r="M372">
            <v>320.52279631359801</v>
          </cell>
          <cell r="N372">
            <v>1704.8863715624027</v>
          </cell>
          <cell r="O372">
            <v>402.07898478021303</v>
          </cell>
          <cell r="P372">
            <v>975.94801442109758</v>
          </cell>
          <cell r="Q372">
            <v>1874.3147803587976</v>
          </cell>
          <cell r="R372">
            <v>2058.9542357753162</v>
          </cell>
          <cell r="S372">
            <v>1876.5425247113997</v>
          </cell>
          <cell r="T372">
            <v>1697.0172199840126</v>
          </cell>
          <cell r="U372">
            <v>2129.4605749391726</v>
          </cell>
          <cell r="V372">
            <v>759.89147835037988</v>
          </cell>
          <cell r="W372">
            <v>3794.901580466887</v>
          </cell>
          <cell r="X372">
            <v>3979.736968982485</v>
          </cell>
          <cell r="Y372">
            <v>1407.4773034076418</v>
          </cell>
          <cell r="Z372">
            <v>839.39850000000001</v>
          </cell>
          <cell r="AA372">
            <v>211.59010000000004</v>
          </cell>
          <cell r="AB372">
            <v>35.865499999999997</v>
          </cell>
          <cell r="AC372">
            <v>144.53530000000001</v>
          </cell>
          <cell r="AF372">
            <v>191.7929</v>
          </cell>
          <cell r="AG372">
            <v>535.87239874463171</v>
          </cell>
          <cell r="AH372">
            <v>349.19380000000001</v>
          </cell>
          <cell r="AI372">
            <v>56.097700000000003</v>
          </cell>
          <cell r="DO372">
            <v>372</v>
          </cell>
        </row>
        <row r="373">
          <cell r="A373" t="str">
            <v>Yakima, WA Metro Area</v>
          </cell>
          <cell r="B373">
            <v>6478.6305511557457</v>
          </cell>
          <cell r="C373">
            <v>5310.967672156823</v>
          </cell>
          <cell r="D373">
            <v>3100.1131997061498</v>
          </cell>
          <cell r="E373">
            <v>1539.3909689370228</v>
          </cell>
          <cell r="F373">
            <v>1847.6985584211786</v>
          </cell>
          <cell r="G373">
            <v>324.81086923978893</v>
          </cell>
          <cell r="H373">
            <v>67.664390981351261</v>
          </cell>
          <cell r="K373">
            <v>215.87647959814529</v>
          </cell>
          <cell r="M373">
            <v>704.90214337374255</v>
          </cell>
          <cell r="O373">
            <v>3.8411</v>
          </cell>
          <cell r="Q373">
            <v>2.4119000000000002</v>
          </cell>
          <cell r="R373">
            <v>47.397199999999998</v>
          </cell>
          <cell r="S373">
            <v>83.213800000000006</v>
          </cell>
          <cell r="T373">
            <v>2592.3472291863518</v>
          </cell>
          <cell r="AA373">
            <v>148.9966</v>
          </cell>
          <cell r="AB373">
            <v>25.154799999999998</v>
          </cell>
          <cell r="AF373">
            <v>2209.7783012615205</v>
          </cell>
          <cell r="AJ373">
            <v>69.792199999999994</v>
          </cell>
          <cell r="AM373">
            <v>1822.3512925637024</v>
          </cell>
          <cell r="DO373">
            <v>373</v>
          </cell>
        </row>
        <row r="374">
          <cell r="A374" t="str">
            <v>York-Hanover, PA Metro Area</v>
          </cell>
          <cell r="B374">
            <v>12421.129015800851</v>
          </cell>
          <cell r="C374">
            <v>4828.3999120448489</v>
          </cell>
          <cell r="D374">
            <v>1135.3282534974255</v>
          </cell>
          <cell r="E374">
            <v>1851.7939217116254</v>
          </cell>
          <cell r="F374">
            <v>1341.3444214512499</v>
          </cell>
          <cell r="G374">
            <v>1060.8795562367445</v>
          </cell>
          <cell r="H374">
            <v>1535.1646488579524</v>
          </cell>
          <cell r="I374">
            <v>1454.3803246015327</v>
          </cell>
          <cell r="J374">
            <v>245.57533369118747</v>
          </cell>
          <cell r="K374">
            <v>354.31135077546526</v>
          </cell>
          <cell r="L374">
            <v>164.148</v>
          </cell>
          <cell r="M374">
            <v>419.20420724829262</v>
          </cell>
          <cell r="N374">
            <v>212.3965929992508</v>
          </cell>
          <cell r="O374">
            <v>307.88639024147483</v>
          </cell>
          <cell r="P374">
            <v>503.30478920422297</v>
          </cell>
          <cell r="Q374">
            <v>421.07424954998953</v>
          </cell>
          <cell r="R374">
            <v>807.84063292134226</v>
          </cell>
          <cell r="S374">
            <v>4338.3161859021393</v>
          </cell>
          <cell r="T374">
            <v>667.63363392010831</v>
          </cell>
          <cell r="U374">
            <v>441.22306685635789</v>
          </cell>
          <cell r="V374">
            <v>111.85800000000002</v>
          </cell>
          <cell r="W374">
            <v>69.749600000000001</v>
          </cell>
          <cell r="Z374">
            <v>174.74930000000001</v>
          </cell>
          <cell r="DO374">
            <v>374</v>
          </cell>
        </row>
        <row r="375">
          <cell r="A375" t="str">
            <v>Youngstown-Warren-Boardman, OH-PA Metro Area</v>
          </cell>
          <cell r="B375">
            <v>2058.5093999999999</v>
          </cell>
          <cell r="C375">
            <v>2853.7865914698</v>
          </cell>
          <cell r="D375">
            <v>4039.7002319454327</v>
          </cell>
          <cell r="E375">
            <v>2550.7453479964952</v>
          </cell>
          <cell r="F375">
            <v>3015.0183892380082</v>
          </cell>
          <cell r="G375">
            <v>1810.1605017226773</v>
          </cell>
          <cell r="H375">
            <v>1006.5662674091416</v>
          </cell>
          <cell r="I375">
            <v>2154.6987031432927</v>
          </cell>
          <cell r="J375">
            <v>1620.6314059586543</v>
          </cell>
          <cell r="K375">
            <v>172.78360000000001</v>
          </cell>
          <cell r="L375">
            <v>1105.1629407359351</v>
          </cell>
          <cell r="M375">
            <v>2353.6504155233729</v>
          </cell>
          <cell r="N375">
            <v>3046.4133414810499</v>
          </cell>
          <cell r="O375">
            <v>2336.9662067539939</v>
          </cell>
          <cell r="P375">
            <v>1576.1461411414552</v>
          </cell>
          <cell r="Q375">
            <v>331.89578533186904</v>
          </cell>
          <cell r="R375">
            <v>627.86962377092607</v>
          </cell>
          <cell r="S375">
            <v>651.94198374165899</v>
          </cell>
          <cell r="T375">
            <v>125.87249999999999</v>
          </cell>
          <cell r="V375">
            <v>143.571</v>
          </cell>
          <cell r="W375">
            <v>103.49872568718254</v>
          </cell>
          <cell r="X375">
            <v>121.92378156947446</v>
          </cell>
          <cell r="Y375">
            <v>674.93273462677894</v>
          </cell>
          <cell r="Z375">
            <v>83.013199999999998</v>
          </cell>
          <cell r="AA375">
            <v>1905.8765126213591</v>
          </cell>
          <cell r="AB375">
            <v>185.1413</v>
          </cell>
          <cell r="AC375">
            <v>100.62130000000001</v>
          </cell>
          <cell r="AE375">
            <v>3040.8857248614704</v>
          </cell>
          <cell r="AF375">
            <v>99.573110373164496</v>
          </cell>
          <cell r="AH375">
            <v>58.956693975903612</v>
          </cell>
          <cell r="DO375">
            <v>375</v>
          </cell>
        </row>
        <row r="376">
          <cell r="A376" t="str">
            <v>Yuba City, CA Metro Area</v>
          </cell>
          <cell r="B376">
            <v>4274.8211931233363</v>
          </cell>
          <cell r="C376">
            <v>3370.665019390196</v>
          </cell>
          <cell r="D376">
            <v>2393.9863285670563</v>
          </cell>
          <cell r="E376">
            <v>2123.5385725115275</v>
          </cell>
          <cell r="F376">
            <v>1766.7973</v>
          </cell>
          <cell r="G376">
            <v>2862.9247130261879</v>
          </cell>
          <cell r="H376">
            <v>1600.7967591677043</v>
          </cell>
          <cell r="J376">
            <v>111.0592</v>
          </cell>
          <cell r="K376">
            <v>282.40096527920269</v>
          </cell>
          <cell r="M376">
            <v>22.500499999999999</v>
          </cell>
          <cell r="P376">
            <v>42.251580642519109</v>
          </cell>
          <cell r="Q376">
            <v>142.7124</v>
          </cell>
          <cell r="U376">
            <v>20.589400000000001</v>
          </cell>
          <cell r="AE376">
            <v>21.1951</v>
          </cell>
          <cell r="DO376">
            <v>376</v>
          </cell>
        </row>
        <row r="377">
          <cell r="A377" t="str">
            <v>Yuma, AZ Metro Area</v>
          </cell>
          <cell r="B377">
            <v>4485.4944070921983</v>
          </cell>
          <cell r="C377">
            <v>6234.2120956442923</v>
          </cell>
          <cell r="D377">
            <v>5570.3146748456084</v>
          </cell>
          <cell r="E377">
            <v>3379.1313386216657</v>
          </cell>
          <cell r="F377">
            <v>639.49153135056065</v>
          </cell>
          <cell r="G377">
            <v>426.22719060012258</v>
          </cell>
          <cell r="H377">
            <v>351.57826138200056</v>
          </cell>
          <cell r="K377">
            <v>1957.89224973822</v>
          </cell>
          <cell r="L377">
            <v>911.55927863700003</v>
          </cell>
          <cell r="M377">
            <v>566.5909642462625</v>
          </cell>
          <cell r="N377">
            <v>303.63580000000002</v>
          </cell>
          <cell r="O377">
            <v>1934.8836604003575</v>
          </cell>
          <cell r="P377">
            <v>174.73990000000001</v>
          </cell>
          <cell r="R377">
            <v>62.905999999999992</v>
          </cell>
          <cell r="S377">
            <v>115.2094</v>
          </cell>
          <cell r="T377">
            <v>2638.4289180301043</v>
          </cell>
          <cell r="AC377">
            <v>20.838100000000001</v>
          </cell>
          <cell r="AM377">
            <v>8.5606000000000009</v>
          </cell>
          <cell r="AS377">
            <v>7.9000000000000008E-3</v>
          </cell>
          <cell r="AT377">
            <v>0.72560000000000002</v>
          </cell>
          <cell r="DO377">
            <v>377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nes by Material"/>
      <sheetName val="Mat. List"/>
      <sheetName val="Programs"/>
      <sheetName val="2006 T"/>
      <sheetName val="2007 T"/>
      <sheetName val="2008 T"/>
      <sheetName val="2009 T"/>
      <sheetName val="RAW"/>
      <sheetName val="Hard Pack"/>
      <sheetName val="Mixed Fibres"/>
      <sheetName val="Mixed Plastics"/>
      <sheetName val="Polycoat"/>
      <sheetName val="RESMP"/>
      <sheetName val="Steel"/>
      <sheetName val="ONP6"/>
      <sheetName val="Aluminum"/>
      <sheetName val="ONP8"/>
      <sheetName val="Tubs and Lids"/>
      <sheetName val="Commingled"/>
      <sheetName val="Mixed Fibre Composition"/>
      <sheetName val="Summary Tonnes using MFC"/>
      <sheetName val="Material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Custom 25">
      <a:dk1>
        <a:srgbClr val="422100"/>
      </a:dk1>
      <a:lt1>
        <a:srgbClr val="FFFFFF"/>
      </a:lt1>
      <a:dk2>
        <a:srgbClr val="4F4E3D"/>
      </a:dk2>
      <a:lt2>
        <a:srgbClr val="EEECE1"/>
      </a:lt2>
      <a:accent1>
        <a:srgbClr val="009394"/>
      </a:accent1>
      <a:accent2>
        <a:srgbClr val="B9DC48"/>
      </a:accent2>
      <a:accent3>
        <a:srgbClr val="64E6AC"/>
      </a:accent3>
      <a:accent4>
        <a:srgbClr val="9A9C79"/>
      </a:accent4>
      <a:accent5>
        <a:srgbClr val="006465"/>
      </a:accent5>
      <a:accent6>
        <a:srgbClr val="445A01"/>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9.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hyperlink" Target="https://www.toyotaforklift.com/resource-library/material-handling-solutions/parts-services/forklift-fuel-consumption-efficiency" TargetMode="External"/><Relationship Id="rId7" Type="http://schemas.openxmlformats.org/officeDocument/2006/relationships/hyperlink" Target="https://www.eia.gov/electricity/annual/html/epa_01_02.html" TargetMode="Externa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hyperlink" Target="https://www.eia.gov/petroleum/gasdiesel/" TargetMode="External"/><Relationship Id="rId5" Type="http://schemas.openxmlformats.org/officeDocument/2006/relationships/hyperlink" Target="https://static1.squarespace.com/static/58877529414fb5283ed14a6b/t/5888f8acbebafbea448f7094/1485371564893/Fuel+Table+-+Loaders.pdf" TargetMode="External"/><Relationship Id="rId4" Type="http://schemas.openxmlformats.org/officeDocument/2006/relationships/hyperlink" Target="https://www.eia.gov/dnav/pet/pet_pri_wfr_a_EPLLPA_PRS_dpgal_w.htm"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A2"/>
  <sheetViews>
    <sheetView tabSelected="1" zoomScale="90" zoomScaleNormal="90" workbookViewId="0">
      <selection activeCell="O107" sqref="O107"/>
    </sheetView>
  </sheetViews>
  <sheetFormatPr defaultColWidth="9" defaultRowHeight="14.5" x14ac:dyDescent="0.35"/>
  <cols>
    <col min="1" max="1" width="3.26953125" style="19" customWidth="1"/>
    <col min="2" max="16384" width="9" style="19"/>
  </cols>
  <sheetData>
    <row r="1" s="19" customFormat="1" ht="19.5" customHeight="1" x14ac:dyDescent="0.35"/>
    <row r="2" s="19" customFormat="1" ht="60.75" customHeight="1" x14ac:dyDescent="0.35"/>
  </sheetData>
  <sheetProtection algorithmName="SHA-512" hashValue="yj8va2WChzRazqB3sX/N5IbcbA2PDgFJqb2R53npmzUsbWxnyop4+tBVvstWVCbQdwxfYBdCbu13AqqDGFx42w==" saltValue="lv4G4ypC7c54rgqtO9vT3A==" spinCount="100000" sheet="1" objects="1" scenarios="1" selectLockedCells="1"/>
  <customSheetViews>
    <customSheetView guid="{C6E026A6-065F-4BC7-8A1C-5537BAE31A06}" showPageBreaks="1" showGridLines="0" showRowCol="0" fitToPage="1" printArea="1">
      <selection activeCell="C9" sqref="C9"/>
      <pageMargins left="0" right="0" top="0" bottom="0" header="0" footer="0"/>
      <pageSetup scale="67" orientation="portrait" horizontalDpi="4294967293" verticalDpi="0" r:id="rId1"/>
    </customSheetView>
    <customSheetView guid="{C1E42E27-80DF-5D46-A74B-2BA4AA86045C}" showGridLines="0" showRowCol="0" fitToPage="1">
      <selection activeCell="S3" sqref="S3"/>
      <pageMargins left="0" right="0" top="0" bottom="0" header="0" footer="0"/>
      <pageSetup scale="67" orientation="portrait" horizontalDpi="4294967293" verticalDpi="0" r:id="rId2"/>
    </customSheetView>
  </customSheetViews>
  <pageMargins left="0.7" right="0.7" top="0.75" bottom="0.75" header="0.3" footer="0.3"/>
  <pageSetup scale="67" orientation="portrait" horizontalDpi="4294967293"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23"/>
  <sheetViews>
    <sheetView workbookViewId="0">
      <selection activeCell="C5" sqref="C5:F5"/>
    </sheetView>
  </sheetViews>
  <sheetFormatPr defaultColWidth="8.81640625" defaultRowHeight="13" x14ac:dyDescent="0.3"/>
  <cols>
    <col min="1" max="1" width="30.453125" style="1" customWidth="1"/>
    <col min="2" max="2" width="12" style="1" customWidth="1"/>
    <col min="3" max="3" width="9.81640625" style="1" bestFit="1" customWidth="1"/>
    <col min="4" max="4" width="12" style="1" customWidth="1"/>
    <col min="5" max="5" width="12.81640625" style="1" customWidth="1"/>
    <col min="6" max="6" width="16.1796875" style="1" customWidth="1"/>
    <col min="7" max="7" width="17.1796875" style="1" customWidth="1"/>
    <col min="8" max="8" width="13" style="1" customWidth="1"/>
    <col min="9" max="9" width="9.81640625" style="1" bestFit="1" customWidth="1"/>
    <col min="10" max="10" width="1.7265625" style="1" customWidth="1"/>
    <col min="11" max="11" width="31.1796875" style="1" customWidth="1"/>
    <col min="12" max="12" width="11.81640625" style="1" customWidth="1"/>
    <col min="13" max="13" width="9.81640625" style="1" customWidth="1"/>
    <col min="14" max="14" width="10.453125" style="1" customWidth="1"/>
    <col min="15" max="15" width="11.1796875" style="1" customWidth="1"/>
    <col min="16" max="16" width="12.453125" style="1" customWidth="1"/>
    <col min="17" max="17" width="12.1796875" style="1" customWidth="1"/>
    <col min="18" max="18" width="10.81640625" style="1" customWidth="1"/>
    <col min="19" max="19" width="11.1796875" style="1" customWidth="1"/>
    <col min="20" max="20" width="2.1796875" style="1" customWidth="1"/>
    <col min="21" max="21" width="8.81640625" style="1"/>
    <col min="22" max="22" width="9" style="1" bestFit="1" customWidth="1"/>
    <col min="23" max="26" width="10.453125" style="1" bestFit="1" customWidth="1"/>
    <col min="27" max="27" width="2.453125" style="1" customWidth="1"/>
    <col min="28" max="28" width="33.1796875" style="1" customWidth="1"/>
    <col min="29" max="29" width="4.81640625" style="1" customWidth="1"/>
    <col min="30" max="30" width="9.1796875" style="1" bestFit="1" customWidth="1"/>
    <col min="31" max="34" width="9.453125" style="1" customWidth="1"/>
    <col min="35" max="16384" width="8.81640625" style="1"/>
  </cols>
  <sheetData>
    <row r="1" spans="1:35" x14ac:dyDescent="0.3">
      <c r="A1" s="183" t="s">
        <v>372</v>
      </c>
      <c r="K1" s="185" t="s">
        <v>617</v>
      </c>
      <c r="AB1" s="185" t="s">
        <v>616</v>
      </c>
    </row>
    <row r="2" spans="1:35" ht="26" x14ac:dyDescent="0.3">
      <c r="B2" s="1" t="s">
        <v>80</v>
      </c>
      <c r="C2" s="29" t="s">
        <v>258</v>
      </c>
      <c r="D2" s="29" t="s">
        <v>218</v>
      </c>
      <c r="E2" s="29" t="s">
        <v>219</v>
      </c>
      <c r="F2" s="29" t="s">
        <v>220</v>
      </c>
      <c r="G2" s="29" t="s">
        <v>221</v>
      </c>
      <c r="H2" s="29" t="s">
        <v>222</v>
      </c>
      <c r="I2" s="29" t="s">
        <v>223</v>
      </c>
      <c r="L2" s="1" t="s">
        <v>80</v>
      </c>
      <c r="M2" s="2" t="s">
        <v>258</v>
      </c>
      <c r="N2" s="2" t="s">
        <v>218</v>
      </c>
      <c r="O2" s="2" t="s">
        <v>219</v>
      </c>
      <c r="P2" s="2" t="s">
        <v>220</v>
      </c>
      <c r="Q2" s="2" t="s">
        <v>221</v>
      </c>
      <c r="R2" s="2" t="s">
        <v>222</v>
      </c>
      <c r="S2" s="2" t="s">
        <v>223</v>
      </c>
      <c r="U2" s="23" t="s">
        <v>80</v>
      </c>
      <c r="V2" s="369" t="s">
        <v>498</v>
      </c>
      <c r="W2" s="369" t="s">
        <v>492</v>
      </c>
      <c r="X2" s="369" t="s">
        <v>493</v>
      </c>
      <c r="Y2" s="369" t="s">
        <v>494</v>
      </c>
      <c r="Z2" s="369" t="s">
        <v>495</v>
      </c>
      <c r="AC2" s="23" t="s">
        <v>80</v>
      </c>
      <c r="AD2" s="369" t="s">
        <v>498</v>
      </c>
      <c r="AE2" s="369" t="s">
        <v>492</v>
      </c>
      <c r="AF2" s="369" t="s">
        <v>493</v>
      </c>
      <c r="AG2" s="369" t="s">
        <v>494</v>
      </c>
      <c r="AH2" s="369" t="s">
        <v>495</v>
      </c>
    </row>
    <row r="3" spans="1:35" x14ac:dyDescent="0.3">
      <c r="A3" s="1" t="s">
        <v>373</v>
      </c>
      <c r="B3" s="1" t="s">
        <v>508</v>
      </c>
      <c r="C3" s="5" t="e">
        <f>TruckCosts!C9</f>
        <v>#N/A</v>
      </c>
      <c r="D3" s="3" t="e">
        <f>TruckCosts!D9</f>
        <v>#N/A</v>
      </c>
      <c r="E3" s="3" t="e">
        <f>TruckCosts!E9</f>
        <v>#N/A</v>
      </c>
      <c r="F3" s="3" t="e">
        <f>TruckCosts!F9</f>
        <v>#N/A</v>
      </c>
      <c r="G3" s="3" t="e">
        <f>TruckCosts!G9</f>
        <v>#N/A</v>
      </c>
      <c r="H3" s="3" t="e">
        <f>TruckCosts!H9</f>
        <v>#N/A</v>
      </c>
      <c r="I3" s="3" t="e">
        <f>TruckCosts!I9</f>
        <v>#N/A</v>
      </c>
      <c r="K3" s="1" t="s">
        <v>373</v>
      </c>
      <c r="L3" s="1" t="s">
        <v>508</v>
      </c>
      <c r="M3" s="3" t="e">
        <f>TruckCosts!M9</f>
        <v>#N/A</v>
      </c>
      <c r="N3" s="3" t="e">
        <f>TruckCosts!N9</f>
        <v>#N/A</v>
      </c>
      <c r="O3" s="3" t="e">
        <f>TruckCosts!O9</f>
        <v>#N/A</v>
      </c>
      <c r="P3" s="3" t="e">
        <f>TruckCosts!P9</f>
        <v>#N/A</v>
      </c>
      <c r="Q3" s="3" t="e">
        <f>TruckCosts!Q9</f>
        <v>#N/A</v>
      </c>
      <c r="R3" s="3" t="e">
        <f>TruckCosts!R9</f>
        <v>#N/A</v>
      </c>
      <c r="S3" s="3" t="e">
        <f>TruckCosts!S9</f>
        <v>#N/A</v>
      </c>
      <c r="T3" s="378"/>
      <c r="U3" s="1" t="s">
        <v>508</v>
      </c>
      <c r="V3" s="259">
        <f>TruckCosts!V9</f>
        <v>1</v>
      </c>
      <c r="W3" s="259" t="e">
        <f>TruckCosts!W9</f>
        <v>#N/A</v>
      </c>
      <c r="X3" s="259" t="e">
        <f>TruckCosts!X9</f>
        <v>#N/A</v>
      </c>
      <c r="Y3" s="259" t="e">
        <f>TruckCosts!Y9</f>
        <v>#N/A</v>
      </c>
      <c r="Z3" s="259" t="e">
        <f>TruckCosts!Z9</f>
        <v>#N/A</v>
      </c>
      <c r="AA3" s="1" t="s">
        <v>490</v>
      </c>
      <c r="AB3" s="1" t="s">
        <v>373</v>
      </c>
      <c r="AC3" s="1" t="s">
        <v>508</v>
      </c>
      <c r="AD3" s="259">
        <f>TruckCosts!AD9</f>
        <v>1</v>
      </c>
      <c r="AE3" s="259" t="e">
        <f>TruckCosts!AE9</f>
        <v>#N/A</v>
      </c>
      <c r="AF3" s="259" t="e">
        <f>TruckCosts!AF9</f>
        <v>#N/A</v>
      </c>
      <c r="AG3" s="259" t="e">
        <f>TruckCosts!AG9</f>
        <v>#N/A</v>
      </c>
      <c r="AH3" s="259" t="e">
        <f>TruckCosts!AH9</f>
        <v>#N/A</v>
      </c>
      <c r="AI3" s="1" t="s">
        <v>490</v>
      </c>
    </row>
    <row r="4" spans="1:35" x14ac:dyDescent="0.3">
      <c r="A4" s="1" t="s">
        <v>374</v>
      </c>
      <c r="B4" s="1" t="s">
        <v>375</v>
      </c>
      <c r="C4" s="3">
        <v>1</v>
      </c>
      <c r="D4" s="3">
        <v>2</v>
      </c>
      <c r="E4" s="3">
        <v>2</v>
      </c>
      <c r="F4" s="3">
        <v>1</v>
      </c>
      <c r="G4" s="3">
        <v>1</v>
      </c>
      <c r="H4" s="3">
        <v>1</v>
      </c>
      <c r="I4" s="3">
        <v>1</v>
      </c>
      <c r="K4" s="1" t="s">
        <v>374</v>
      </c>
      <c r="L4" s="1" t="s">
        <v>375</v>
      </c>
      <c r="M4" s="3">
        <v>1</v>
      </c>
      <c r="N4" s="3">
        <v>2</v>
      </c>
      <c r="O4" s="3">
        <v>2</v>
      </c>
      <c r="P4" s="3">
        <v>1</v>
      </c>
      <c r="Q4" s="3">
        <v>1</v>
      </c>
      <c r="R4" s="3">
        <v>1</v>
      </c>
      <c r="S4" s="3">
        <v>1</v>
      </c>
      <c r="U4" s="1" t="s">
        <v>375</v>
      </c>
      <c r="V4" s="259">
        <v>1</v>
      </c>
      <c r="W4" s="259">
        <v>1</v>
      </c>
      <c r="X4" s="259">
        <v>1</v>
      </c>
      <c r="Y4" s="259">
        <v>1</v>
      </c>
      <c r="Z4" s="259">
        <v>1</v>
      </c>
      <c r="AA4" s="1" t="s">
        <v>490</v>
      </c>
      <c r="AB4" s="1" t="s">
        <v>374</v>
      </c>
      <c r="AC4" s="1" t="s">
        <v>375</v>
      </c>
      <c r="AD4" s="259">
        <v>1</v>
      </c>
      <c r="AE4" s="259">
        <v>1</v>
      </c>
      <c r="AF4" s="259">
        <v>1</v>
      </c>
      <c r="AG4" s="259">
        <v>1</v>
      </c>
      <c r="AH4" s="259">
        <v>1</v>
      </c>
      <c r="AI4" s="1" t="s">
        <v>490</v>
      </c>
    </row>
    <row r="5" spans="1:35" x14ac:dyDescent="0.3">
      <c r="A5" s="1" t="s">
        <v>613</v>
      </c>
      <c r="B5" s="1" t="s">
        <v>263</v>
      </c>
      <c r="C5" s="3" t="e">
        <f>C3*C4</f>
        <v>#N/A</v>
      </c>
      <c r="D5" s="3" t="e">
        <f>D3*D4</f>
        <v>#N/A</v>
      </c>
      <c r="E5" s="3" t="e">
        <f t="shared" ref="E5:I5" si="0">E3*E4</f>
        <v>#N/A</v>
      </c>
      <c r="F5" s="3" t="e">
        <f t="shared" si="0"/>
        <v>#N/A</v>
      </c>
      <c r="G5" s="3" t="e">
        <f t="shared" si="0"/>
        <v>#N/A</v>
      </c>
      <c r="H5" s="3" t="e">
        <f t="shared" si="0"/>
        <v>#N/A</v>
      </c>
      <c r="I5" s="3" t="e">
        <f t="shared" si="0"/>
        <v>#N/A</v>
      </c>
      <c r="K5" s="1" t="s">
        <v>376</v>
      </c>
      <c r="L5" s="1" t="s">
        <v>263</v>
      </c>
      <c r="M5" s="3" t="e">
        <f>M3*M4</f>
        <v>#N/A</v>
      </c>
      <c r="N5" s="3" t="e">
        <f t="shared" ref="N5:S5" si="1">N3*N4</f>
        <v>#N/A</v>
      </c>
      <c r="O5" s="3" t="e">
        <f t="shared" si="1"/>
        <v>#N/A</v>
      </c>
      <c r="P5" s="3" t="e">
        <f t="shared" si="1"/>
        <v>#N/A</v>
      </c>
      <c r="Q5" s="3" t="e">
        <f t="shared" si="1"/>
        <v>#N/A</v>
      </c>
      <c r="R5" s="3" t="e">
        <f t="shared" si="1"/>
        <v>#N/A</v>
      </c>
      <c r="S5" s="3" t="e">
        <f t="shared" si="1"/>
        <v>#N/A</v>
      </c>
      <c r="U5" s="1" t="s">
        <v>263</v>
      </c>
      <c r="V5" s="259">
        <f>V3*V4</f>
        <v>1</v>
      </c>
      <c r="W5" s="259" t="e">
        <f>W3*W4</f>
        <v>#N/A</v>
      </c>
      <c r="X5" s="259" t="e">
        <f>X3*X4</f>
        <v>#N/A</v>
      </c>
      <c r="Y5" s="259" t="e">
        <f>Y3*Y4</f>
        <v>#N/A</v>
      </c>
      <c r="Z5" s="259" t="e">
        <f>Z3*Z4</f>
        <v>#N/A</v>
      </c>
      <c r="AA5" s="1" t="s">
        <v>490</v>
      </c>
      <c r="AB5" s="1" t="s">
        <v>376</v>
      </c>
      <c r="AD5" s="259">
        <f>AD3*AD4</f>
        <v>1</v>
      </c>
      <c r="AE5" s="259" t="e">
        <f>AE3*AE4</f>
        <v>#N/A</v>
      </c>
      <c r="AF5" s="259" t="e">
        <f>AF3*AF4</f>
        <v>#N/A</v>
      </c>
      <c r="AG5" s="259" t="e">
        <f>AG3*AG4</f>
        <v>#N/A</v>
      </c>
      <c r="AH5" s="259" t="e">
        <f>AH3*AH4</f>
        <v>#N/A</v>
      </c>
      <c r="AI5" s="1" t="s">
        <v>490</v>
      </c>
    </row>
    <row r="6" spans="1:35" x14ac:dyDescent="0.3">
      <c r="A6" s="1" t="s">
        <v>377</v>
      </c>
      <c r="B6" s="1" t="s">
        <v>263</v>
      </c>
      <c r="C6" s="3" t="e">
        <f>IF(C5&lt;8,0,IF(C5&lt;12,1,IF(C5&lt;25,2,IF(C5&lt;35,3,IF(C5&lt;45,4,IF(C5&lt;55,5,IF(C5&lt;65,6,IF(C5&lt;75,7,IF(C5&lt;85,8,IF(C5&lt;120,10,10))))))))))</f>
        <v>#N/A</v>
      </c>
      <c r="D6" s="3" t="e">
        <f>IF(D5&lt;8,0,IF(D5&lt;12,1,IF(D5&lt;25,2,IF(D5&lt;35,3,IF(D5&lt;45,4,IF(D5&lt;55,5,IF(D5&lt;65,6,IF(D5&lt;75,7,IF(D5&lt;85,8,IF(D5&lt;120,10,10))))))))))</f>
        <v>#N/A</v>
      </c>
      <c r="E6" s="3" t="e">
        <f t="shared" ref="E6:I6" si="2">IF(E5&lt;8,0,IF(E5&lt;12,1,IF(E5&lt;25,2,IF(E5&lt;35,3,IF(E5&lt;45,4,IF(E5&lt;55,5,IF(E5&lt;65,6,IF(E5&lt;75,7,IF(E5&lt;85,8,IF(E5&lt;120,10,10))))))))))</f>
        <v>#N/A</v>
      </c>
      <c r="F6" s="3" t="e">
        <f t="shared" si="2"/>
        <v>#N/A</v>
      </c>
      <c r="G6" s="3" t="e">
        <f t="shared" si="2"/>
        <v>#N/A</v>
      </c>
      <c r="H6" s="3" t="e">
        <f t="shared" si="2"/>
        <v>#N/A</v>
      </c>
      <c r="I6" s="3" t="e">
        <f t="shared" si="2"/>
        <v>#N/A</v>
      </c>
      <c r="K6" s="1" t="s">
        <v>377</v>
      </c>
      <c r="L6" s="1" t="s">
        <v>263</v>
      </c>
      <c r="M6" s="3" t="e">
        <f t="shared" ref="M6:S6" si="3">IF(M5&lt;8,0,IF(M5&lt;12,1,IF(M5&lt;25,2,IF(M5&lt;35,3,IF(M5&lt;45,4,IF(M5&lt;55,5,IF(M5&lt;65,6,IF(M5&lt;75,7,IF(M5&lt;85,8,IF(M5&lt;120,10,10))))))))))</f>
        <v>#N/A</v>
      </c>
      <c r="N6" s="3" t="e">
        <f t="shared" si="3"/>
        <v>#N/A</v>
      </c>
      <c r="O6" s="3" t="e">
        <f t="shared" si="3"/>
        <v>#N/A</v>
      </c>
      <c r="P6" s="3" t="e">
        <f t="shared" si="3"/>
        <v>#N/A</v>
      </c>
      <c r="Q6" s="3" t="e">
        <f t="shared" si="3"/>
        <v>#N/A</v>
      </c>
      <c r="R6" s="3" t="e">
        <f t="shared" si="3"/>
        <v>#N/A</v>
      </c>
      <c r="S6" s="3" t="e">
        <f t="shared" si="3"/>
        <v>#N/A</v>
      </c>
      <c r="U6" s="1" t="s">
        <v>263</v>
      </c>
      <c r="V6" s="259">
        <f>IF(V5&lt;8,0,IF(V5&lt;12,1,IF(V5&lt;25,2,IF(V5&lt;35,3,IF(V5&lt;45,4,IF(V5&lt;55,5,IF(V5&lt;65,6,IF(V5&lt;75,7,IF(V5&lt;85,8,IF(V5&lt;120,10,10))))))))))</f>
        <v>0</v>
      </c>
      <c r="W6" s="259" t="e">
        <f>IF(W5&lt;8,0,IF(W5&lt;12,1,IF(W5&lt;25,2,IF(W5&lt;35,3,IF(W5&lt;45,4,IF(W5&lt;55,5,IF(W5&lt;65,6,IF(W5&lt;75,7,IF(W5&lt;85,8,IF(W5&lt;120,10,10))))))))))</f>
        <v>#N/A</v>
      </c>
      <c r="X6" s="259" t="e">
        <f>IF(X5&lt;8,0,IF(X5&lt;12,1,IF(X5&lt;25,2,IF(X5&lt;35,3,IF(X5&lt;45,4,IF(X5&lt;55,5,IF(X5&lt;65,6,IF(X5&lt;75,7,IF(X5&lt;85,8,IF(X5&lt;120,10,10))))))))))</f>
        <v>#N/A</v>
      </c>
      <c r="Y6" s="259" t="e">
        <f>IF(Y5&lt;8,0,IF(Y5&lt;12,1,IF(Y5&lt;25,2,IF(Y5&lt;35,3,IF(Y5&lt;45,4,IF(Y5&lt;55,5,IF(Y5&lt;65,6,IF(Y5&lt;75,7,IF(Y5&lt;85,8,IF(Y5&lt;120,10,10))))))))))</f>
        <v>#N/A</v>
      </c>
      <c r="Z6" s="259" t="e">
        <f>IF(Z5&lt;8,0,IF(Z5&lt;12,1,IF(Z5&lt;25,2,IF(Z5&lt;35,3,IF(Z5&lt;45,4,IF(Z5&lt;55,5,IF(Z5&lt;65,6,IF(Z5&lt;75,7,IF(Z5&lt;85,8,IF(Z5&lt;120,10,10))))))))))</f>
        <v>#N/A</v>
      </c>
      <c r="AA6" s="1" t="s">
        <v>490</v>
      </c>
      <c r="AB6" s="1" t="s">
        <v>377</v>
      </c>
      <c r="AD6" s="259">
        <f>IF(AD5&lt;8,0,IF(AD5&lt;12,1,IF(AD5&lt;25,2,IF(AD5&lt;35,3,IF(AD5&lt;45,4,IF(AD5&lt;55,5,IF(AD5&lt;65,6,IF(AD5&lt;75,7,IF(AD5&lt;85,8,IF(AD5&lt;120,10,10))))))))))</f>
        <v>0</v>
      </c>
      <c r="AE6" s="259" t="e">
        <f>IF(AE5&lt;8,0,IF(AE5&lt;12,1,IF(AE5&lt;25,2,IF(AE5&lt;35,3,IF(AE5&lt;45,4,IF(AE5&lt;55,5,IF(AE5&lt;65,6,IF(AE5&lt;75,7,IF(AE5&lt;85,8,IF(AE5&lt;120,10,10))))))))))</f>
        <v>#N/A</v>
      </c>
      <c r="AF6" s="259" t="e">
        <f>IF(AF5&lt;8,0,IF(AF5&lt;12,1,IF(AF5&lt;25,2,IF(AF5&lt;35,3,IF(AF5&lt;45,4,IF(AF5&lt;55,5,IF(AF5&lt;65,6,IF(AF5&lt;75,7,IF(AF5&lt;85,8,IF(AF5&lt;120,10,10))))))))))</f>
        <v>#N/A</v>
      </c>
      <c r="AG6" s="259" t="e">
        <f>IF(AG5&lt;8,0,IF(AG5&lt;12,1,IF(AG5&lt;25,2,IF(AG5&lt;35,3,IF(AG5&lt;45,4,IF(AG5&lt;55,5,IF(AG5&lt;65,6,IF(AG5&lt;75,7,IF(AG5&lt;85,8,IF(AG5&lt;120,10,10))))))))))</f>
        <v>#N/A</v>
      </c>
      <c r="AH6" s="259" t="e">
        <f>IF(AH5&lt;8,0,IF(AH5&lt;12,1,IF(AH5&lt;25,2,IF(AH5&lt;35,3,IF(AH5&lt;45,4,IF(AH5&lt;55,5,IF(AH5&lt;65,6,IF(AH5&lt;75,7,IF(AH5&lt;85,8,IF(AH5&lt;120,10,10))))))))))</f>
        <v>#N/A</v>
      </c>
      <c r="AI6" s="1" t="s">
        <v>490</v>
      </c>
    </row>
    <row r="7" spans="1:35" x14ac:dyDescent="0.3">
      <c r="A7" s="1" t="s">
        <v>378</v>
      </c>
      <c r="B7" s="1" t="s">
        <v>604</v>
      </c>
      <c r="C7" s="3">
        <f>ContainerCosts!C4</f>
        <v>0</v>
      </c>
      <c r="D7" s="11" t="e">
        <f>ContainerCosts!D4</f>
        <v>#N/A</v>
      </c>
      <c r="E7" s="11" t="e">
        <f>ContainerCosts!E4</f>
        <v>#N/A</v>
      </c>
      <c r="F7" s="11" t="e">
        <f>ContainerCosts!F4</f>
        <v>#N/A</v>
      </c>
      <c r="G7" s="11" t="e">
        <f>ContainerCosts!G4</f>
        <v>#N/A</v>
      </c>
      <c r="H7" s="11" t="e">
        <f>ContainerCosts!H4</f>
        <v>#N/A</v>
      </c>
      <c r="I7" s="11" t="e">
        <f>ContainerCosts!I4</f>
        <v>#N/A</v>
      </c>
      <c r="K7" s="1" t="s">
        <v>378</v>
      </c>
      <c r="M7" s="3">
        <f>C7</f>
        <v>0</v>
      </c>
      <c r="N7" s="3" t="e">
        <f t="shared" ref="N7:P7" si="4">D7</f>
        <v>#N/A</v>
      </c>
      <c r="O7" s="3" t="e">
        <f t="shared" si="4"/>
        <v>#N/A</v>
      </c>
      <c r="P7" s="3" t="e">
        <f t="shared" si="4"/>
        <v>#N/A</v>
      </c>
      <c r="Q7" s="3" t="e">
        <f t="shared" ref="Q7" si="5">G7</f>
        <v>#N/A</v>
      </c>
      <c r="R7" s="3" t="e">
        <f t="shared" ref="R7:S7" si="6">H7</f>
        <v>#N/A</v>
      </c>
      <c r="S7" s="3" t="e">
        <f t="shared" si="6"/>
        <v>#N/A</v>
      </c>
      <c r="U7" s="1" t="s">
        <v>604</v>
      </c>
      <c r="V7" s="259">
        <f>ContainerCosts!K4</f>
        <v>0</v>
      </c>
      <c r="W7" s="296" t="e">
        <f>ContainerCosts!L4</f>
        <v>#N/A</v>
      </c>
      <c r="X7" s="296" t="e">
        <f>ContainerCosts!M4</f>
        <v>#N/A</v>
      </c>
      <c r="Y7" s="296" t="e">
        <f>ContainerCosts!N4</f>
        <v>#N/A</v>
      </c>
      <c r="Z7" s="296" t="e">
        <f>ContainerCosts!O4</f>
        <v>#N/A</v>
      </c>
      <c r="AA7" s="1" t="s">
        <v>490</v>
      </c>
      <c r="AB7" s="1" t="s">
        <v>378</v>
      </c>
      <c r="AD7" s="296">
        <f>V7</f>
        <v>0</v>
      </c>
      <c r="AE7" s="296" t="e">
        <f>W7</f>
        <v>#N/A</v>
      </c>
      <c r="AF7" s="296" t="e">
        <f>X7</f>
        <v>#N/A</v>
      </c>
      <c r="AG7" s="296" t="e">
        <f>Y7</f>
        <v>#N/A</v>
      </c>
      <c r="AH7" s="296" t="e">
        <f>Z7</f>
        <v>#N/A</v>
      </c>
      <c r="AI7" s="1" t="s">
        <v>490</v>
      </c>
    </row>
    <row r="8" spans="1:35" x14ac:dyDescent="0.3">
      <c r="A8" s="1" t="s">
        <v>379</v>
      </c>
      <c r="B8" s="1" t="s">
        <v>263</v>
      </c>
      <c r="C8" s="3">
        <v>0</v>
      </c>
      <c r="D8" s="3" t="e">
        <f>IF(D7&lt;20000,0,IF(D7&lt;40000,1,IF(D7&lt;70000,2,IF(D7&lt;100000,3, IF(D7&lt;300000,4,4)))))</f>
        <v>#N/A</v>
      </c>
      <c r="E8" s="3" t="e">
        <f t="shared" ref="E8:I8" si="7">IF(E7&lt;20000,0,IF(E7&lt;40000,1,IF(E7&lt;70000,2,IF(E7&lt;100000,3, IF(E7&lt;300000,4,4)))))</f>
        <v>#N/A</v>
      </c>
      <c r="F8" s="3" t="e">
        <f t="shared" si="7"/>
        <v>#N/A</v>
      </c>
      <c r="G8" s="3" t="e">
        <f t="shared" si="7"/>
        <v>#N/A</v>
      </c>
      <c r="H8" s="3" t="e">
        <f t="shared" si="7"/>
        <v>#N/A</v>
      </c>
      <c r="I8" s="3" t="e">
        <f t="shared" si="7"/>
        <v>#N/A</v>
      </c>
      <c r="K8" s="1" t="s">
        <v>379</v>
      </c>
      <c r="L8" s="1" t="s">
        <v>263</v>
      </c>
      <c r="M8" s="3">
        <v>0</v>
      </c>
      <c r="N8" s="3" t="e">
        <f>IF(N7&lt;20000,0,IF(N7&lt;40000,1,IF(N7&lt;70000,2,IF(N7&lt;100000,3, IF(N7&lt;300000,4,4)))))</f>
        <v>#N/A</v>
      </c>
      <c r="O8" s="3" t="e">
        <f t="shared" ref="O8:S8" si="8">IF(O7&lt;20000,0,IF(O7&lt;40000,1,IF(O7&lt;70000,2,IF(O7&lt;100000,3, IF(O7&lt;300000,4,4)))))</f>
        <v>#N/A</v>
      </c>
      <c r="P8" s="3" t="e">
        <f t="shared" si="8"/>
        <v>#N/A</v>
      </c>
      <c r="Q8" s="3" t="e">
        <f t="shared" si="8"/>
        <v>#N/A</v>
      </c>
      <c r="R8" s="3" t="e">
        <f t="shared" si="8"/>
        <v>#N/A</v>
      </c>
      <c r="S8" s="3" t="e">
        <f t="shared" si="8"/>
        <v>#N/A</v>
      </c>
      <c r="U8" s="1" t="s">
        <v>263</v>
      </c>
      <c r="V8" s="259">
        <v>0</v>
      </c>
      <c r="W8" s="259" t="e">
        <f>IF(W7&lt;20000,0,IF(W7&lt;40000,1,IF(W7&lt;70000,2,IF(W7&lt;100000,3, IF(W7&lt;300000,4,4)))))</f>
        <v>#N/A</v>
      </c>
      <c r="X8" s="259" t="e">
        <f>IF(X7&lt;20000,0,IF(X7&lt;40000,1,IF(X7&lt;70000,2,IF(X7&lt;100000,3, IF(X7&lt;300000,4,4)))))</f>
        <v>#N/A</v>
      </c>
      <c r="Y8" s="259" t="e">
        <f>IF(Y7&lt;20000,0,IF(Y7&lt;40000,1,IF(Y7&lt;70000,2,IF(Y7&lt;100000,3, IF(Y7&lt;300000,4,4)))))</f>
        <v>#N/A</v>
      </c>
      <c r="Z8" s="259" t="e">
        <f>IF(Z7&lt;20000,0,IF(Z7&lt;40000,1,IF(Z7&lt;70000,2,IF(Z7&lt;100000,3, IF(Z7&lt;300000,4,4)))))</f>
        <v>#N/A</v>
      </c>
      <c r="AA8" s="1" t="s">
        <v>490</v>
      </c>
      <c r="AB8" s="1" t="s">
        <v>379</v>
      </c>
      <c r="AD8" s="259">
        <v>0</v>
      </c>
      <c r="AE8" s="259" t="e">
        <f>IF(AE7&lt;20000,0,IF(AE7&lt;40000,1,IF(AE7&lt;70000,2,IF(AE7&lt;100000,3, IF(AE7&lt;300000,4,4)))))</f>
        <v>#N/A</v>
      </c>
      <c r="AF8" s="259" t="e">
        <f t="shared" ref="AF8:AH8" si="9">IF(AF7&lt;20000,0,IF(AF7&lt;40000,1,IF(AF7&lt;70000,2,IF(AF7&lt;100000,3, IF(AF7&lt;300000,4,4)))))</f>
        <v>#N/A</v>
      </c>
      <c r="AG8" s="259" t="e">
        <f t="shared" si="9"/>
        <v>#N/A</v>
      </c>
      <c r="AH8" s="259" t="e">
        <f t="shared" si="9"/>
        <v>#N/A</v>
      </c>
      <c r="AI8" s="1" t="s">
        <v>490</v>
      </c>
    </row>
    <row r="9" spans="1:35" x14ac:dyDescent="0.3">
      <c r="A9" s="1" t="s">
        <v>614</v>
      </c>
      <c r="B9" s="1" t="s">
        <v>298</v>
      </c>
      <c r="C9" s="17">
        <f t="shared" ref="C9:I9" si="10">DriverWages</f>
        <v>61272.639999999992</v>
      </c>
      <c r="D9" s="17">
        <f t="shared" si="10"/>
        <v>61272.639999999992</v>
      </c>
      <c r="E9" s="17">
        <f t="shared" si="10"/>
        <v>61272.639999999992</v>
      </c>
      <c r="F9" s="17">
        <f t="shared" si="10"/>
        <v>61272.639999999992</v>
      </c>
      <c r="G9" s="17">
        <f t="shared" si="10"/>
        <v>61272.639999999992</v>
      </c>
      <c r="H9" s="17">
        <f t="shared" si="10"/>
        <v>61272.639999999992</v>
      </c>
      <c r="I9" s="17">
        <f t="shared" si="10"/>
        <v>61272.639999999992</v>
      </c>
      <c r="K9" s="1" t="s">
        <v>380</v>
      </c>
      <c r="L9" s="1" t="s">
        <v>298</v>
      </c>
      <c r="M9" s="17">
        <f t="shared" ref="M9:S9" si="11">DriverWages</f>
        <v>61272.639999999992</v>
      </c>
      <c r="N9" s="17">
        <f t="shared" si="11"/>
        <v>61272.639999999992</v>
      </c>
      <c r="O9" s="17">
        <f t="shared" si="11"/>
        <v>61272.639999999992</v>
      </c>
      <c r="P9" s="17">
        <f t="shared" si="11"/>
        <v>61272.639999999992</v>
      </c>
      <c r="Q9" s="17">
        <f t="shared" si="11"/>
        <v>61272.639999999992</v>
      </c>
      <c r="R9" s="17">
        <f t="shared" si="11"/>
        <v>61272.639999999992</v>
      </c>
      <c r="S9" s="17">
        <f t="shared" si="11"/>
        <v>61272.639999999992</v>
      </c>
      <c r="U9" s="1" t="s">
        <v>298</v>
      </c>
      <c r="V9" s="258">
        <f>DriverWages</f>
        <v>61272.639999999992</v>
      </c>
      <c r="W9" s="258">
        <f>DriverWages</f>
        <v>61272.639999999992</v>
      </c>
      <c r="X9" s="258">
        <f>DriverWages</f>
        <v>61272.639999999992</v>
      </c>
      <c r="Y9" s="258">
        <f>DriverWages</f>
        <v>61272.639999999992</v>
      </c>
      <c r="Z9" s="258">
        <f>DriverWages</f>
        <v>61272.639999999992</v>
      </c>
      <c r="AA9" s="1" t="s">
        <v>490</v>
      </c>
      <c r="AB9" s="1" t="s">
        <v>380</v>
      </c>
      <c r="AD9" s="289">
        <f>DriverWages</f>
        <v>61272.639999999992</v>
      </c>
      <c r="AE9" s="289">
        <f>DriverWages</f>
        <v>61272.639999999992</v>
      </c>
      <c r="AF9" s="289">
        <f>DriverWages</f>
        <v>61272.639999999992</v>
      </c>
      <c r="AG9" s="289">
        <f>DriverWages</f>
        <v>61272.639999999992</v>
      </c>
      <c r="AH9" s="289">
        <f>DriverWages</f>
        <v>61272.639999999992</v>
      </c>
      <c r="AI9" s="1" t="s">
        <v>490</v>
      </c>
    </row>
    <row r="10" spans="1:35" x14ac:dyDescent="0.3">
      <c r="A10" s="1" t="s">
        <v>381</v>
      </c>
      <c r="B10" s="1" t="s">
        <v>298</v>
      </c>
      <c r="C10" s="17">
        <f>'Transfer &amp; MRF Assumptions'!$E$10</f>
        <v>63057.279999999999</v>
      </c>
      <c r="D10" s="17">
        <f>'Transfer &amp; MRF Assumptions'!$E$10</f>
        <v>63057.279999999999</v>
      </c>
      <c r="E10" s="17">
        <f>'Transfer &amp; MRF Assumptions'!$E$10</f>
        <v>63057.279999999999</v>
      </c>
      <c r="F10" s="17">
        <f>'Transfer &amp; MRF Assumptions'!$E$10</f>
        <v>63057.279999999999</v>
      </c>
      <c r="G10" s="17">
        <f>'Transfer &amp; MRF Assumptions'!$E$10</f>
        <v>63057.279999999999</v>
      </c>
      <c r="H10" s="17">
        <f>'Transfer &amp; MRF Assumptions'!$E$10</f>
        <v>63057.279999999999</v>
      </c>
      <c r="I10" s="17">
        <f>'Transfer &amp; MRF Assumptions'!$E$10</f>
        <v>63057.279999999999</v>
      </c>
      <c r="K10" s="1" t="s">
        <v>381</v>
      </c>
      <c r="L10" s="1" t="s">
        <v>298</v>
      </c>
      <c r="M10" s="17">
        <f>AssumptionTables!$C$29</f>
        <v>63057.279999999999</v>
      </c>
      <c r="N10" s="17">
        <f>AssumptionTables!$C$29</f>
        <v>63057.279999999999</v>
      </c>
      <c r="O10" s="17">
        <f>AssumptionTables!$C$29</f>
        <v>63057.279999999999</v>
      </c>
      <c r="P10" s="17">
        <f>AssumptionTables!$C$29</f>
        <v>63057.279999999999</v>
      </c>
      <c r="Q10" s="17">
        <f>AssumptionTables!$C$29</f>
        <v>63057.279999999999</v>
      </c>
      <c r="R10" s="17">
        <f>AssumptionTables!$C$29</f>
        <v>63057.279999999999</v>
      </c>
      <c r="S10" s="17">
        <f>AssumptionTables!$C$29</f>
        <v>63057.279999999999</v>
      </c>
      <c r="U10" s="1" t="s">
        <v>298</v>
      </c>
      <c r="V10" s="258">
        <f>AssumptionTables!$C$29</f>
        <v>63057.279999999999</v>
      </c>
      <c r="W10" s="258">
        <f>AssumptionTables!$C$29</f>
        <v>63057.279999999999</v>
      </c>
      <c r="X10" s="258">
        <f>AssumptionTables!$C$29</f>
        <v>63057.279999999999</v>
      </c>
      <c r="Y10" s="258">
        <f>AssumptionTables!$C$29</f>
        <v>63057.279999999999</v>
      </c>
      <c r="Z10" s="258">
        <f>AssumptionTables!$C$29</f>
        <v>63057.279999999999</v>
      </c>
      <c r="AA10" s="1" t="s">
        <v>490</v>
      </c>
      <c r="AB10" s="1" t="s">
        <v>381</v>
      </c>
      <c r="AD10" s="289">
        <f>AssumptionTables!$C$29</f>
        <v>63057.279999999999</v>
      </c>
      <c r="AE10" s="289">
        <f>AssumptionTables!$C$29</f>
        <v>63057.279999999999</v>
      </c>
      <c r="AF10" s="289">
        <f>AssumptionTables!$C$29</f>
        <v>63057.279999999999</v>
      </c>
      <c r="AG10" s="289">
        <f>AssumptionTables!$C$29</f>
        <v>63057.279999999999</v>
      </c>
      <c r="AH10" s="289">
        <f>AssumptionTables!$C$29</f>
        <v>63057.279999999999</v>
      </c>
      <c r="AI10" s="1" t="s">
        <v>490</v>
      </c>
    </row>
    <row r="11" spans="1:35" x14ac:dyDescent="0.3">
      <c r="A11" s="1" t="s">
        <v>615</v>
      </c>
      <c r="B11" s="1" t="s">
        <v>298</v>
      </c>
      <c r="C11" s="17">
        <f t="shared" ref="C11:I11" si="12">EquipOperatorWages</f>
        <v>48834.239999999991</v>
      </c>
      <c r="D11" s="17">
        <f t="shared" si="12"/>
        <v>48834.239999999991</v>
      </c>
      <c r="E11" s="17">
        <f t="shared" si="12"/>
        <v>48834.239999999991</v>
      </c>
      <c r="F11" s="17">
        <f t="shared" si="12"/>
        <v>48834.239999999991</v>
      </c>
      <c r="G11" s="17">
        <f t="shared" si="12"/>
        <v>48834.239999999991</v>
      </c>
      <c r="H11" s="17">
        <f t="shared" si="12"/>
        <v>48834.239999999991</v>
      </c>
      <c r="I11" s="17">
        <f t="shared" si="12"/>
        <v>48834.239999999991</v>
      </c>
      <c r="K11" s="1" t="s">
        <v>382</v>
      </c>
      <c r="L11" s="1" t="s">
        <v>298</v>
      </c>
      <c r="M11" s="17">
        <f>AssumptionTables!$C$30</f>
        <v>48834.239999999991</v>
      </c>
      <c r="N11" s="17">
        <f>AssumptionTables!$C$30</f>
        <v>48834.239999999991</v>
      </c>
      <c r="O11" s="17">
        <f>AssumptionTables!$C$30</f>
        <v>48834.239999999991</v>
      </c>
      <c r="P11" s="17">
        <f>AssumptionTables!$C$30</f>
        <v>48834.239999999991</v>
      </c>
      <c r="Q11" s="17">
        <f>AssumptionTables!$C$30</f>
        <v>48834.239999999991</v>
      </c>
      <c r="R11" s="17">
        <f>AssumptionTables!$C$30</f>
        <v>48834.239999999991</v>
      </c>
      <c r="S11" s="17">
        <f>AssumptionTables!$C$30</f>
        <v>48834.239999999991</v>
      </c>
      <c r="U11" s="1" t="s">
        <v>298</v>
      </c>
      <c r="V11" s="258">
        <f>AssumptionTables!$C$30</f>
        <v>48834.239999999991</v>
      </c>
      <c r="W11" s="258">
        <f>AssumptionTables!$C$30</f>
        <v>48834.239999999991</v>
      </c>
      <c r="X11" s="258">
        <f>AssumptionTables!$C$30</f>
        <v>48834.239999999991</v>
      </c>
      <c r="Y11" s="258">
        <f>AssumptionTables!$C$30</f>
        <v>48834.239999999991</v>
      </c>
      <c r="Z11" s="258">
        <f>AssumptionTables!$C$30</f>
        <v>48834.239999999991</v>
      </c>
      <c r="AA11" s="1" t="s">
        <v>490</v>
      </c>
      <c r="AB11" s="1" t="s">
        <v>382</v>
      </c>
      <c r="AD11" s="289">
        <f>AssumptionTables!$C$30</f>
        <v>48834.239999999991</v>
      </c>
      <c r="AE11" s="289">
        <f>AssumptionTables!$C$30</f>
        <v>48834.239999999991</v>
      </c>
      <c r="AF11" s="289">
        <f>AssumptionTables!$C$30</f>
        <v>48834.239999999991</v>
      </c>
      <c r="AG11" s="289">
        <f>AssumptionTables!$C$30</f>
        <v>48834.239999999991</v>
      </c>
      <c r="AH11" s="289">
        <f>AssumptionTables!$C$30</f>
        <v>48834.239999999991</v>
      </c>
      <c r="AI11" s="1" t="s">
        <v>490</v>
      </c>
    </row>
    <row r="12" spans="1:35" x14ac:dyDescent="0.3">
      <c r="A12" s="1" t="s">
        <v>74</v>
      </c>
      <c r="C12" s="17" t="e">
        <f>(C5*C9)+(C6*C10)+(C8*C11)</f>
        <v>#N/A</v>
      </c>
      <c r="D12" s="17" t="e">
        <f t="shared" ref="D12:I12" si="13">(D5*D9)+(D6*D10)+(D8*D11)</f>
        <v>#N/A</v>
      </c>
      <c r="E12" s="17" t="e">
        <f t="shared" si="13"/>
        <v>#N/A</v>
      </c>
      <c r="F12" s="17" t="e">
        <f t="shared" si="13"/>
        <v>#N/A</v>
      </c>
      <c r="G12" s="17" t="e">
        <f t="shared" si="13"/>
        <v>#N/A</v>
      </c>
      <c r="H12" s="17" t="e">
        <f t="shared" si="13"/>
        <v>#N/A</v>
      </c>
      <c r="I12" s="17" t="e">
        <f t="shared" si="13"/>
        <v>#N/A</v>
      </c>
      <c r="K12" s="1" t="s">
        <v>74</v>
      </c>
      <c r="M12" s="12" t="e">
        <f t="shared" ref="M12:S12" si="14">(M5*M9)+(M6*M10)+(M8*M11)</f>
        <v>#N/A</v>
      </c>
      <c r="N12" s="12" t="e">
        <f t="shared" si="14"/>
        <v>#N/A</v>
      </c>
      <c r="O12" s="12" t="e">
        <f t="shared" si="14"/>
        <v>#N/A</v>
      </c>
      <c r="P12" s="12" t="e">
        <f t="shared" si="14"/>
        <v>#N/A</v>
      </c>
      <c r="Q12" s="12" t="e">
        <f t="shared" si="14"/>
        <v>#N/A</v>
      </c>
      <c r="R12" s="12" t="e">
        <f t="shared" si="14"/>
        <v>#N/A</v>
      </c>
      <c r="S12" s="12" t="e">
        <f t="shared" si="14"/>
        <v>#N/A</v>
      </c>
      <c r="U12" s="1" t="s">
        <v>263</v>
      </c>
      <c r="V12" s="258">
        <f>(V5*V9)+(V6*V10)+(V8*V11)</f>
        <v>61272.639999999992</v>
      </c>
      <c r="W12" s="258" t="e">
        <f>(W5*W9)+(W6*W10)+(W8*W11)</f>
        <v>#N/A</v>
      </c>
      <c r="X12" s="258" t="e">
        <f>(X5*X9)+(X6*X10)+(X8*X11)</f>
        <v>#N/A</v>
      </c>
      <c r="Y12" s="258" t="e">
        <f>(Y5*Y9)+(Y6*Y10)+(Y8*Y11)</f>
        <v>#N/A</v>
      </c>
      <c r="Z12" s="258" t="e">
        <f>(Z5*Z9)+(Z6*Z10)+(Z8*Z11)</f>
        <v>#N/A</v>
      </c>
      <c r="AA12" s="1" t="s">
        <v>490</v>
      </c>
      <c r="AB12" s="1" t="s">
        <v>74</v>
      </c>
      <c r="AD12" s="289">
        <f>(AD5*AD9)+(AD6*AD10)+(AD8*AD11)</f>
        <v>61272.639999999992</v>
      </c>
      <c r="AE12" s="289" t="e">
        <f t="shared" ref="AE12:AH12" si="15">(AE5*AE9)+(AE6*AE10)+(AE8*AE11)</f>
        <v>#N/A</v>
      </c>
      <c r="AF12" s="289" t="e">
        <f t="shared" si="15"/>
        <v>#N/A</v>
      </c>
      <c r="AG12" s="289" t="e">
        <f t="shared" si="15"/>
        <v>#N/A</v>
      </c>
      <c r="AH12" s="289" t="e">
        <f t="shared" si="15"/>
        <v>#N/A</v>
      </c>
      <c r="AI12" s="1" t="s">
        <v>490</v>
      </c>
    </row>
    <row r="13" spans="1:35" x14ac:dyDescent="0.3">
      <c r="A13" s="1" t="s">
        <v>383</v>
      </c>
      <c r="B13" s="1" t="s">
        <v>294</v>
      </c>
      <c r="C13" s="17" t="e">
        <f>AssumptionTables!$C$36*(C12)</f>
        <v>#N/A</v>
      </c>
      <c r="D13" s="17" t="e">
        <f>AssumptionTables!$C$36*(D12)</f>
        <v>#N/A</v>
      </c>
      <c r="E13" s="17" t="e">
        <f>AssumptionTables!$C$36*(E12)</f>
        <v>#N/A</v>
      </c>
      <c r="F13" s="17" t="e">
        <f>AssumptionTables!$C$36*(F12)</f>
        <v>#N/A</v>
      </c>
      <c r="G13" s="17" t="e">
        <f>AssumptionTables!$C$36*(G12)</f>
        <v>#N/A</v>
      </c>
      <c r="H13" s="17" t="e">
        <f>AssumptionTables!$C$36*(H12)</f>
        <v>#N/A</v>
      </c>
      <c r="I13" s="17" t="e">
        <f>AssumptionTables!$C$36*(I12)</f>
        <v>#N/A</v>
      </c>
      <c r="K13" s="1" t="s">
        <v>383</v>
      </c>
      <c r="L13" s="1" t="s">
        <v>294</v>
      </c>
      <c r="M13" s="12" t="e">
        <f>AssumptionTables!$C$35*(M12)</f>
        <v>#N/A</v>
      </c>
      <c r="N13" s="12" t="e">
        <f>AssumptionTables!$C$35*(N12)</f>
        <v>#N/A</v>
      </c>
      <c r="O13" s="12" t="e">
        <f>AssumptionTables!$C$35*(O12)</f>
        <v>#N/A</v>
      </c>
      <c r="P13" s="12" t="e">
        <f>AssumptionTables!$C$35*(P12)</f>
        <v>#N/A</v>
      </c>
      <c r="Q13" s="12" t="e">
        <f>AssumptionTables!$C$35*(Q12)</f>
        <v>#N/A</v>
      </c>
      <c r="R13" s="12" t="e">
        <f>AssumptionTables!$C$35*(R12)</f>
        <v>#N/A</v>
      </c>
      <c r="S13" s="12" t="e">
        <f>AssumptionTables!$C$35*(S12)</f>
        <v>#N/A</v>
      </c>
      <c r="U13" s="1" t="s">
        <v>294</v>
      </c>
      <c r="V13" s="258">
        <f>AssumptionTables!$C$36*(V12)</f>
        <v>3063.6319999999996</v>
      </c>
      <c r="W13" s="258" t="e">
        <f>AssumptionTables!$C$36*(W12)</f>
        <v>#N/A</v>
      </c>
      <c r="X13" s="258" t="e">
        <f>AssumptionTables!$C$36*(X12)</f>
        <v>#N/A</v>
      </c>
      <c r="Y13" s="258" t="e">
        <f>AssumptionTables!$C$36*(Y12)</f>
        <v>#N/A</v>
      </c>
      <c r="Z13" s="258" t="e">
        <f>AssumptionTables!$C$36*(Z12)</f>
        <v>#N/A</v>
      </c>
      <c r="AA13" s="1" t="s">
        <v>490</v>
      </c>
      <c r="AB13" s="1" t="s">
        <v>383</v>
      </c>
      <c r="AD13" s="289">
        <f>AssumptionTables!$C$35*(AD12)</f>
        <v>3063.6319999999996</v>
      </c>
      <c r="AE13" s="289" t="e">
        <f>AssumptionTables!$C$35*(AE12)</f>
        <v>#N/A</v>
      </c>
      <c r="AF13" s="289" t="e">
        <f>AssumptionTables!$C$35*(AF12)</f>
        <v>#N/A</v>
      </c>
      <c r="AG13" s="289" t="e">
        <f>AssumptionTables!$C$35*(AG12)</f>
        <v>#N/A</v>
      </c>
      <c r="AH13" s="289" t="e">
        <f>AssumptionTables!$C$35*(AH12)</f>
        <v>#N/A</v>
      </c>
      <c r="AI13" s="1" t="s">
        <v>490</v>
      </c>
    </row>
    <row r="15" spans="1:35" x14ac:dyDescent="0.3">
      <c r="A15" s="2" t="s">
        <v>266</v>
      </c>
      <c r="K15" s="2"/>
      <c r="AB15" s="2"/>
    </row>
    <row r="16" spans="1:35" x14ac:dyDescent="0.3">
      <c r="A16" s="1" t="s">
        <v>384</v>
      </c>
      <c r="C16" s="17" t="e">
        <f>C12+C13</f>
        <v>#N/A</v>
      </c>
      <c r="D16" s="17" t="e">
        <f>D12+D13</f>
        <v>#N/A</v>
      </c>
      <c r="E16" s="17" t="e">
        <f t="shared" ref="E16:I16" si="16">E12+E13</f>
        <v>#N/A</v>
      </c>
      <c r="F16" s="17" t="e">
        <f t="shared" si="16"/>
        <v>#N/A</v>
      </c>
      <c r="G16" s="17" t="e">
        <f t="shared" si="16"/>
        <v>#N/A</v>
      </c>
      <c r="H16" s="17" t="e">
        <f>H12+H13</f>
        <v>#N/A</v>
      </c>
      <c r="I16" s="17" t="e">
        <f t="shared" si="16"/>
        <v>#N/A</v>
      </c>
      <c r="K16" s="1" t="s">
        <v>384</v>
      </c>
      <c r="M16" s="17" t="e">
        <f>M12+M13</f>
        <v>#N/A</v>
      </c>
      <c r="N16" s="17" t="e">
        <f>N12+N13</f>
        <v>#N/A</v>
      </c>
      <c r="O16" s="17" t="e">
        <f t="shared" ref="O16:S16" si="17">O12+O13</f>
        <v>#N/A</v>
      </c>
      <c r="P16" s="17" t="e">
        <f t="shared" si="17"/>
        <v>#N/A</v>
      </c>
      <c r="Q16" s="17" t="e">
        <f t="shared" si="17"/>
        <v>#N/A</v>
      </c>
      <c r="R16" s="17" t="e">
        <f t="shared" si="17"/>
        <v>#N/A</v>
      </c>
      <c r="S16" s="17" t="e">
        <f t="shared" si="17"/>
        <v>#N/A</v>
      </c>
      <c r="V16" s="258">
        <f>V12+V13</f>
        <v>64336.27199999999</v>
      </c>
      <c r="W16" s="258" t="e">
        <f>W12+W13</f>
        <v>#N/A</v>
      </c>
      <c r="X16" s="258" t="e">
        <f>X12+X13</f>
        <v>#N/A</v>
      </c>
      <c r="Y16" s="258" t="e">
        <f>Y12+Y13</f>
        <v>#N/A</v>
      </c>
      <c r="Z16" s="258" t="e">
        <f>Z12+Z13</f>
        <v>#N/A</v>
      </c>
      <c r="AA16" s="1" t="s">
        <v>490</v>
      </c>
      <c r="AB16" s="1" t="s">
        <v>384</v>
      </c>
      <c r="AD16" s="293">
        <f>AD12+AD13</f>
        <v>64336.27199999999</v>
      </c>
      <c r="AE16" s="293" t="e">
        <f t="shared" ref="AE16:AH16" si="18">AE12+AE13</f>
        <v>#N/A</v>
      </c>
      <c r="AF16" s="293" t="e">
        <f t="shared" si="18"/>
        <v>#N/A</v>
      </c>
      <c r="AG16" s="293" t="e">
        <f t="shared" si="18"/>
        <v>#N/A</v>
      </c>
      <c r="AH16" s="293" t="e">
        <f t="shared" si="18"/>
        <v>#N/A</v>
      </c>
      <c r="AI16" s="1" t="s">
        <v>490</v>
      </c>
    </row>
    <row r="17" spans="1:35" x14ac:dyDescent="0.3">
      <c r="A17" s="1" t="s">
        <v>385</v>
      </c>
      <c r="C17" s="11" t="e">
        <f>(C3*C4)+C8</f>
        <v>#N/A</v>
      </c>
      <c r="D17" s="11" t="e">
        <f t="shared" ref="D17:I17" si="19">(D3*D4)+D8</f>
        <v>#N/A</v>
      </c>
      <c r="E17" s="11" t="e">
        <f t="shared" si="19"/>
        <v>#N/A</v>
      </c>
      <c r="F17" s="11" t="e">
        <f t="shared" si="19"/>
        <v>#N/A</v>
      </c>
      <c r="G17" s="11" t="e">
        <f t="shared" si="19"/>
        <v>#N/A</v>
      </c>
      <c r="H17" s="11" t="e">
        <f t="shared" si="19"/>
        <v>#N/A</v>
      </c>
      <c r="I17" s="11" t="e">
        <f t="shared" si="19"/>
        <v>#N/A</v>
      </c>
      <c r="K17" s="1" t="s">
        <v>385</v>
      </c>
      <c r="M17" s="11" t="e">
        <f t="shared" ref="M17:S17" si="20">(M3*M4)+M8</f>
        <v>#N/A</v>
      </c>
      <c r="N17" s="11" t="e">
        <f t="shared" si="20"/>
        <v>#N/A</v>
      </c>
      <c r="O17" s="11" t="e">
        <f t="shared" si="20"/>
        <v>#N/A</v>
      </c>
      <c r="P17" s="11" t="e">
        <f t="shared" si="20"/>
        <v>#N/A</v>
      </c>
      <c r="Q17" s="11" t="e">
        <f t="shared" si="20"/>
        <v>#N/A</v>
      </c>
      <c r="R17" s="11" t="e">
        <f t="shared" si="20"/>
        <v>#N/A</v>
      </c>
      <c r="S17" s="11" t="e">
        <f t="shared" si="20"/>
        <v>#N/A</v>
      </c>
      <c r="V17" s="259">
        <f>(V3*V4)+V8</f>
        <v>1</v>
      </c>
      <c r="W17" s="259" t="e">
        <f>(W3*W4)+W8</f>
        <v>#N/A</v>
      </c>
      <c r="X17" s="259" t="e">
        <f>(X3*X4)+X8</f>
        <v>#N/A</v>
      </c>
      <c r="Y17" s="259" t="e">
        <f>(Y3*Y4)+Y8</f>
        <v>#N/A</v>
      </c>
      <c r="Z17" s="259" t="e">
        <f>(Z3*Z4)+Z8</f>
        <v>#N/A</v>
      </c>
      <c r="AA17" s="1" t="s">
        <v>490</v>
      </c>
      <c r="AB17" s="1" t="s">
        <v>385</v>
      </c>
      <c r="AD17" s="259">
        <f>(AD3*AD4)+AD8</f>
        <v>1</v>
      </c>
      <c r="AE17" s="259" t="e">
        <f t="shared" ref="AE17:AH17" si="21">(AE3*AE4)+AE8</f>
        <v>#N/A</v>
      </c>
      <c r="AF17" s="259" t="e">
        <f t="shared" si="21"/>
        <v>#N/A</v>
      </c>
      <c r="AG17" s="259" t="e">
        <f t="shared" si="21"/>
        <v>#N/A</v>
      </c>
      <c r="AH17" s="259" t="e">
        <f t="shared" si="21"/>
        <v>#N/A</v>
      </c>
      <c r="AI17" s="1" t="s">
        <v>490</v>
      </c>
    </row>
    <row r="18" spans="1:35" x14ac:dyDescent="0.3">
      <c r="A18" s="1" t="s">
        <v>386</v>
      </c>
      <c r="C18" s="11" t="e">
        <f>C6</f>
        <v>#N/A</v>
      </c>
      <c r="D18" s="11" t="e">
        <f>D6</f>
        <v>#N/A</v>
      </c>
      <c r="E18" s="11" t="e">
        <f t="shared" ref="E18:I18" si="22">E6</f>
        <v>#N/A</v>
      </c>
      <c r="F18" s="11" t="e">
        <f t="shared" si="22"/>
        <v>#N/A</v>
      </c>
      <c r="G18" s="11" t="e">
        <f t="shared" si="22"/>
        <v>#N/A</v>
      </c>
      <c r="H18" s="11" t="e">
        <f t="shared" si="22"/>
        <v>#N/A</v>
      </c>
      <c r="I18" s="11" t="e">
        <f t="shared" si="22"/>
        <v>#N/A</v>
      </c>
      <c r="K18" s="1" t="s">
        <v>386</v>
      </c>
      <c r="M18" s="11" t="e">
        <f>M6</f>
        <v>#N/A</v>
      </c>
      <c r="N18" s="11" t="e">
        <f>N6</f>
        <v>#N/A</v>
      </c>
      <c r="O18" s="11" t="e">
        <f t="shared" ref="O18:S18" si="23">O6</f>
        <v>#N/A</v>
      </c>
      <c r="P18" s="11" t="e">
        <f t="shared" si="23"/>
        <v>#N/A</v>
      </c>
      <c r="Q18" s="11" t="e">
        <f t="shared" si="23"/>
        <v>#N/A</v>
      </c>
      <c r="R18" s="11" t="e">
        <f t="shared" si="23"/>
        <v>#N/A</v>
      </c>
      <c r="S18" s="11" t="e">
        <f t="shared" si="23"/>
        <v>#N/A</v>
      </c>
      <c r="V18" s="259">
        <f>V6</f>
        <v>0</v>
      </c>
      <c r="W18" s="259" t="e">
        <f>W6</f>
        <v>#N/A</v>
      </c>
      <c r="X18" s="259" t="e">
        <f>X6</f>
        <v>#N/A</v>
      </c>
      <c r="Y18" s="259" t="e">
        <f>Y6</f>
        <v>#N/A</v>
      </c>
      <c r="Z18" s="259" t="e">
        <f>Z6</f>
        <v>#N/A</v>
      </c>
      <c r="AA18" s="1" t="s">
        <v>490</v>
      </c>
      <c r="AB18" s="1" t="s">
        <v>386</v>
      </c>
      <c r="AD18" s="259">
        <f>AD6</f>
        <v>0</v>
      </c>
      <c r="AE18" s="259" t="e">
        <f t="shared" ref="AE18:AH18" si="24">AE6</f>
        <v>#N/A</v>
      </c>
      <c r="AF18" s="259" t="e">
        <f t="shared" si="24"/>
        <v>#N/A</v>
      </c>
      <c r="AG18" s="259" t="e">
        <f t="shared" si="24"/>
        <v>#N/A</v>
      </c>
      <c r="AH18" s="259" t="e">
        <f t="shared" si="24"/>
        <v>#N/A</v>
      </c>
      <c r="AI18" s="1" t="s">
        <v>490</v>
      </c>
    </row>
    <row r="20" spans="1:35" x14ac:dyDescent="0.3">
      <c r="K20" s="2" t="s">
        <v>314</v>
      </c>
      <c r="AB20" s="2" t="s">
        <v>314</v>
      </c>
    </row>
    <row r="21" spans="1:35" x14ac:dyDescent="0.3">
      <c r="K21" s="1" t="s">
        <v>384</v>
      </c>
      <c r="M21" s="17" t="e">
        <f>M16-C16</f>
        <v>#N/A</v>
      </c>
      <c r="N21" s="17" t="e">
        <f>N16-D16</f>
        <v>#N/A</v>
      </c>
      <c r="O21" s="17" t="e">
        <f t="shared" ref="O21:S21" si="25">O16-E16</f>
        <v>#N/A</v>
      </c>
      <c r="P21" s="17" t="e">
        <f t="shared" si="25"/>
        <v>#N/A</v>
      </c>
      <c r="Q21" s="17" t="e">
        <f t="shared" si="25"/>
        <v>#N/A</v>
      </c>
      <c r="R21" s="17" t="e">
        <f t="shared" si="25"/>
        <v>#N/A</v>
      </c>
      <c r="S21" s="17" t="e">
        <f t="shared" si="25"/>
        <v>#N/A</v>
      </c>
      <c r="AB21" s="1" t="s">
        <v>384</v>
      </c>
      <c r="AD21" s="293">
        <f>AD16-V16</f>
        <v>0</v>
      </c>
      <c r="AE21" s="293" t="e">
        <f t="shared" ref="AE21:AH21" si="26">AE16-W16</f>
        <v>#N/A</v>
      </c>
      <c r="AF21" s="293" t="e">
        <f t="shared" si="26"/>
        <v>#N/A</v>
      </c>
      <c r="AG21" s="293" t="e">
        <f t="shared" si="26"/>
        <v>#N/A</v>
      </c>
      <c r="AH21" s="293" t="e">
        <f t="shared" si="26"/>
        <v>#N/A</v>
      </c>
      <c r="AI21" s="1" t="s">
        <v>490</v>
      </c>
    </row>
    <row r="22" spans="1:35" x14ac:dyDescent="0.3">
      <c r="K22" s="1" t="s">
        <v>385</v>
      </c>
      <c r="M22" s="17" t="e">
        <f t="shared" ref="M22:M23" si="27">M17-C17</f>
        <v>#N/A</v>
      </c>
      <c r="N22" s="17" t="e">
        <f t="shared" ref="N22:N23" si="28">N17-D17</f>
        <v>#N/A</v>
      </c>
      <c r="O22" s="17" t="e">
        <f t="shared" ref="O22:O23" si="29">O17-E17</f>
        <v>#N/A</v>
      </c>
      <c r="P22" s="17" t="e">
        <f t="shared" ref="P22:P23" si="30">P17-F17</f>
        <v>#N/A</v>
      </c>
      <c r="Q22" s="17" t="e">
        <f t="shared" ref="Q22:Q23" si="31">Q17-G17</f>
        <v>#N/A</v>
      </c>
      <c r="R22" s="17" t="e">
        <f t="shared" ref="R22:R23" si="32">R17-H17</f>
        <v>#N/A</v>
      </c>
      <c r="S22" s="17" t="e">
        <f t="shared" ref="S22:S23" si="33">S17-I17</f>
        <v>#N/A</v>
      </c>
      <c r="AB22" s="1" t="s">
        <v>385</v>
      </c>
      <c r="AD22" s="367">
        <f>AD17-V17</f>
        <v>0</v>
      </c>
      <c r="AE22" s="367" t="e">
        <f t="shared" ref="AE22:AH22" si="34">AE17-W17</f>
        <v>#N/A</v>
      </c>
      <c r="AF22" s="367" t="e">
        <f t="shared" si="34"/>
        <v>#N/A</v>
      </c>
      <c r="AG22" s="367" t="e">
        <f>AG17-Y17</f>
        <v>#N/A</v>
      </c>
      <c r="AH22" s="367" t="e">
        <f t="shared" si="34"/>
        <v>#N/A</v>
      </c>
      <c r="AI22" s="1" t="s">
        <v>490</v>
      </c>
    </row>
    <row r="23" spans="1:35" x14ac:dyDescent="0.3">
      <c r="K23" s="1" t="s">
        <v>386</v>
      </c>
      <c r="M23" s="17" t="e">
        <f t="shared" si="27"/>
        <v>#N/A</v>
      </c>
      <c r="N23" s="17" t="e">
        <f t="shared" si="28"/>
        <v>#N/A</v>
      </c>
      <c r="O23" s="17" t="e">
        <f t="shared" si="29"/>
        <v>#N/A</v>
      </c>
      <c r="P23" s="17" t="e">
        <f t="shared" si="30"/>
        <v>#N/A</v>
      </c>
      <c r="Q23" s="17" t="e">
        <f t="shared" si="31"/>
        <v>#N/A</v>
      </c>
      <c r="R23" s="17" t="e">
        <f t="shared" si="32"/>
        <v>#N/A</v>
      </c>
      <c r="S23" s="17" t="e">
        <f t="shared" si="33"/>
        <v>#N/A</v>
      </c>
      <c r="AB23" s="1" t="s">
        <v>386</v>
      </c>
      <c r="AD23" s="367">
        <f>AD18-V18</f>
        <v>0</v>
      </c>
      <c r="AE23" s="367" t="e">
        <f t="shared" ref="AE23:AH23" si="35">AE18-W18</f>
        <v>#N/A</v>
      </c>
      <c r="AF23" s="367" t="e">
        <f t="shared" si="35"/>
        <v>#N/A</v>
      </c>
      <c r="AG23" s="367" t="e">
        <f t="shared" si="35"/>
        <v>#N/A</v>
      </c>
      <c r="AH23" s="367" t="e">
        <f t="shared" si="35"/>
        <v>#N/A</v>
      </c>
      <c r="AI23" s="1" t="s">
        <v>490</v>
      </c>
    </row>
  </sheetData>
  <customSheetViews>
    <customSheetView guid="{C6E026A6-065F-4BC7-8A1C-5537BAE31A06}" state="hidden">
      <pageMargins left="0" right="0" top="0" bottom="0" header="0" footer="0"/>
      <pageSetup orientation="portrait" horizontalDpi="4294967293" verticalDpi="0" r:id="rId1"/>
    </customSheetView>
    <customSheetView guid="{C1E42E27-80DF-5D46-A74B-2BA4AA86045C}" state="hidden">
      <pageMargins left="0" right="0" top="0" bottom="0" header="0" footer="0"/>
      <pageSetup orientation="portrait" horizontalDpi="4294967293" verticalDpi="0" r:id="rId2"/>
    </customSheetView>
    <customSheetView guid="{487CB698-FD0E-4580-BCE5-B1F3904B4ADD}">
      <selection activeCell="L19" sqref="L19"/>
      <pageMargins left="0" right="0" top="0" bottom="0" header="0" footer="0"/>
    </customSheetView>
  </customSheetViews>
  <pageMargins left="0.7" right="0.7" top="0.75" bottom="0.75" header="0.3" footer="0.3"/>
  <pageSetup orientation="portrait" horizontalDpi="4294967293" verticalDpi="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3"/>
  <sheetViews>
    <sheetView workbookViewId="0">
      <selection activeCell="C5" sqref="C5:F5"/>
    </sheetView>
  </sheetViews>
  <sheetFormatPr defaultColWidth="8.81640625" defaultRowHeight="13" x14ac:dyDescent="0.3"/>
  <cols>
    <col min="1" max="1" width="24.1796875" style="184" bestFit="1" customWidth="1"/>
    <col min="2" max="2" width="12.453125" style="184" bestFit="1" customWidth="1"/>
    <col min="3" max="3" width="10.7265625" style="184" bestFit="1" customWidth="1"/>
    <col min="4" max="4" width="10.7265625" style="184" customWidth="1"/>
    <col min="5" max="5" width="12.1796875" style="184" customWidth="1"/>
    <col min="6" max="6" width="10.453125" style="184" bestFit="1" customWidth="1"/>
    <col min="7" max="7" width="13.1796875" style="184" customWidth="1"/>
    <col min="8" max="8" width="10.453125" style="184" customWidth="1"/>
    <col min="9" max="9" width="13.453125" style="184" bestFit="1" customWidth="1"/>
    <col min="10" max="10" width="2.453125" style="184" customWidth="1"/>
    <col min="11" max="11" width="13.453125" style="184" bestFit="1" customWidth="1"/>
    <col min="12" max="12" width="6" style="184" bestFit="1" customWidth="1"/>
    <col min="13" max="13" width="9" style="184" bestFit="1" customWidth="1"/>
    <col min="14" max="15" width="14.1796875" style="184" bestFit="1" customWidth="1"/>
    <col min="16" max="17" width="13.1796875" style="184" bestFit="1" customWidth="1"/>
    <col min="18" max="16384" width="8.81640625" style="184"/>
  </cols>
  <sheetData>
    <row r="1" spans="1:18" x14ac:dyDescent="0.3">
      <c r="A1" s="183" t="s">
        <v>1013</v>
      </c>
      <c r="B1" s="1"/>
      <c r="C1" s="1"/>
      <c r="D1" s="1"/>
      <c r="E1" s="1"/>
      <c r="F1" s="1"/>
      <c r="G1" s="1"/>
      <c r="H1" s="1"/>
      <c r="I1" s="1"/>
      <c r="J1" s="1"/>
    </row>
    <row r="2" spans="1:18" ht="26" x14ac:dyDescent="0.3">
      <c r="A2" s="1"/>
      <c r="B2" s="1" t="s">
        <v>80</v>
      </c>
      <c r="C2" s="2" t="s">
        <v>258</v>
      </c>
      <c r="D2" s="29" t="s">
        <v>218</v>
      </c>
      <c r="E2" s="29" t="s">
        <v>219</v>
      </c>
      <c r="F2" s="29" t="s">
        <v>220</v>
      </c>
      <c r="G2" s="29" t="s">
        <v>221</v>
      </c>
      <c r="H2" s="29" t="s">
        <v>222</v>
      </c>
      <c r="I2" s="29" t="s">
        <v>223</v>
      </c>
      <c r="J2" s="29"/>
      <c r="L2" s="184" t="s">
        <v>80</v>
      </c>
      <c r="M2" s="290" t="s">
        <v>498</v>
      </c>
      <c r="N2" s="290" t="s">
        <v>492</v>
      </c>
      <c r="O2" s="290" t="s">
        <v>493</v>
      </c>
      <c r="P2" s="290" t="s">
        <v>494</v>
      </c>
      <c r="Q2" s="290" t="s">
        <v>495</v>
      </c>
    </row>
    <row r="3" spans="1:18" x14ac:dyDescent="0.3">
      <c r="A3" s="1" t="s">
        <v>511</v>
      </c>
      <c r="B3" s="1" t="s">
        <v>262</v>
      </c>
      <c r="C3" s="17">
        <f>IF(Input!$E$20="",VLOOKUP(Input!$C$6,DropDowns_LookUps!$A$27:$I$33,2,FALSE), Input!$E$20 )</f>
        <v>0</v>
      </c>
      <c r="D3" s="17">
        <f>IF(Input!$E$20="",VLOOKUP(Input!$C$6,DropDowns_LookUps!$A$27:$I$33,2,FALSE), Input!$E$20 )</f>
        <v>0</v>
      </c>
      <c r="E3" s="17">
        <f>IF(Input!$E$20="",VLOOKUP(Input!$C$6,DropDowns_LookUps!$A$27:$I$33,2,FALSE), Input!$E$20 )</f>
        <v>0</v>
      </c>
      <c r="F3" s="17">
        <f>IF(Input!$E$20="",VLOOKUP(Input!$C$6,DropDowns_LookUps!$A$27:$I$33,2,FALSE), Input!$E$20 )</f>
        <v>0</v>
      </c>
      <c r="G3" s="17">
        <f>IF(Input!$E$20="",VLOOKUP(Input!$C$6,DropDowns_LookUps!$A$27:$I$33,2,FALSE), Input!$E$20 )</f>
        <v>0</v>
      </c>
      <c r="H3" s="17">
        <f>IF(Input!$E$20="",VLOOKUP(Input!$C$6,DropDowns_LookUps!$A$27:$I$33,2,FALSE), Input!$E$20 )</f>
        <v>0</v>
      </c>
      <c r="I3" s="17">
        <f>IF(Input!$E$20="",VLOOKUP(Input!$C$6,DropDowns_LookUps!$A$27:$I$33,2,FALSE), Input!$E$20 )</f>
        <v>0</v>
      </c>
      <c r="J3" s="294"/>
      <c r="K3" s="184" t="s">
        <v>511</v>
      </c>
      <c r="M3" s="285">
        <f>IF(Input!$E$20="",VLOOKUP(Input!$C$6,DropDowns_LookUps!$A$27:$I$33,2,FALSE), Input!$E$20 )</f>
        <v>0</v>
      </c>
      <c r="N3" s="285">
        <f>IF(Input!$E$20="",VLOOKUP(Input!$C$6,DropDowns_LookUps!$A$27:$I$33,2,FALSE), Input!$E$20 )</f>
        <v>0</v>
      </c>
      <c r="O3" s="285">
        <f>IF(Input!$E$20="",VLOOKUP(Input!$C$6,DropDowns_LookUps!$A$27:$I$33,2,FALSE), Input!$E$20 )</f>
        <v>0</v>
      </c>
      <c r="P3" s="285">
        <f>IF(Input!$E$20="",VLOOKUP(Input!$C$6,DropDowns_LookUps!$A$27:$I$33,2,FALSE), Input!$E$20 )</f>
        <v>0</v>
      </c>
      <c r="Q3" s="285">
        <f>IF(Input!$E$20="",VLOOKUP(Input!$C$6,DropDowns_LookUps!$A$27:$I$33,2,FALSE), Input!$E$20 )</f>
        <v>0</v>
      </c>
      <c r="R3" s="184" t="s">
        <v>503</v>
      </c>
    </row>
    <row r="4" spans="1:18" x14ac:dyDescent="0.3">
      <c r="A4" s="1" t="s">
        <v>510</v>
      </c>
      <c r="B4" s="1" t="s">
        <v>507</v>
      </c>
      <c r="C4" s="148" t="e">
        <f>TonnageImpacts!C13</f>
        <v>#N/A</v>
      </c>
      <c r="D4" s="148" t="e">
        <f>TonnageImpacts!D13</f>
        <v>#N/A</v>
      </c>
      <c r="E4" s="148" t="e">
        <f>TonnageImpacts!E13</f>
        <v>#N/A</v>
      </c>
      <c r="F4" s="148" t="e">
        <f>TonnageImpacts!F13</f>
        <v>#N/A</v>
      </c>
      <c r="G4" s="148" t="e">
        <f>TonnageImpacts!G13</f>
        <v>#N/A</v>
      </c>
      <c r="H4" s="148" t="e">
        <f>TonnageImpacts!H13</f>
        <v>#N/A</v>
      </c>
      <c r="I4" s="148" t="e">
        <f>TonnageImpacts!I13</f>
        <v>#N/A</v>
      </c>
      <c r="J4" s="276"/>
      <c r="K4" s="184" t="s">
        <v>509</v>
      </c>
      <c r="L4" s="1" t="s">
        <v>507</v>
      </c>
      <c r="M4" s="279" t="e">
        <f>TonnageImpacts!K13</f>
        <v>#N/A</v>
      </c>
      <c r="N4" s="283" t="e">
        <f>TonnageImpacts!L13</f>
        <v>#N/A</v>
      </c>
      <c r="O4" s="283" t="e">
        <f>TonnageImpacts!M13</f>
        <v>#N/A</v>
      </c>
      <c r="P4" s="283" t="e">
        <f>TonnageImpacts!N13</f>
        <v>#N/A</v>
      </c>
      <c r="Q4" s="283" t="e">
        <f>TonnageImpacts!O13</f>
        <v>#N/A</v>
      </c>
      <c r="R4" s="184" t="s">
        <v>490</v>
      </c>
    </row>
    <row r="5" spans="1:18" x14ac:dyDescent="0.3">
      <c r="A5" s="1" t="s">
        <v>618</v>
      </c>
      <c r="B5" s="1" t="s">
        <v>263</v>
      </c>
      <c r="C5" s="16" t="e">
        <f t="shared" ref="C5:I5" si="0">C3*C4</f>
        <v>#N/A</v>
      </c>
      <c r="D5" s="16" t="e">
        <f t="shared" si="0"/>
        <v>#N/A</v>
      </c>
      <c r="E5" s="16" t="e">
        <f t="shared" si="0"/>
        <v>#N/A</v>
      </c>
      <c r="F5" s="16" t="e">
        <f t="shared" si="0"/>
        <v>#N/A</v>
      </c>
      <c r="G5" s="16" t="e">
        <f t="shared" si="0"/>
        <v>#N/A</v>
      </c>
      <c r="H5" s="16" t="e">
        <f t="shared" si="0"/>
        <v>#N/A</v>
      </c>
      <c r="I5" s="16" t="e">
        <f t="shared" si="0"/>
        <v>#N/A</v>
      </c>
      <c r="J5" s="295"/>
      <c r="K5" s="184" t="s">
        <v>389</v>
      </c>
      <c r="M5" s="372" t="e">
        <f>M3*M4</f>
        <v>#N/A</v>
      </c>
      <c r="N5" s="372" t="e">
        <f>N3*N4</f>
        <v>#N/A</v>
      </c>
      <c r="O5" s="372" t="e">
        <f>O3*O4</f>
        <v>#N/A</v>
      </c>
      <c r="P5" s="372" t="e">
        <f>P3*P4</f>
        <v>#N/A</v>
      </c>
      <c r="Q5" s="372" t="e">
        <f>Q3*Q4</f>
        <v>#N/A</v>
      </c>
      <c r="R5" s="184" t="s">
        <v>503</v>
      </c>
    </row>
    <row r="6" spans="1:18" x14ac:dyDescent="0.3">
      <c r="A6" s="1"/>
      <c r="B6" s="1"/>
      <c r="C6" s="313"/>
      <c r="D6" s="313"/>
      <c r="E6" s="313"/>
      <c r="F6" s="313"/>
      <c r="G6" s="313"/>
      <c r="H6" s="313"/>
      <c r="I6" s="313"/>
      <c r="J6" s="1"/>
    </row>
    <row r="7" spans="1:18" x14ac:dyDescent="0.3">
      <c r="A7" s="2" t="s">
        <v>266</v>
      </c>
      <c r="B7" s="1"/>
      <c r="C7" s="1"/>
      <c r="D7" s="1"/>
      <c r="E7" s="1"/>
      <c r="F7" s="1"/>
      <c r="G7" s="1"/>
      <c r="H7" s="1"/>
      <c r="I7" s="163"/>
      <c r="J7" s="1"/>
    </row>
    <row r="8" spans="1:18" x14ac:dyDescent="0.3">
      <c r="A8" s="1" t="s">
        <v>390</v>
      </c>
      <c r="B8" s="1" t="s">
        <v>263</v>
      </c>
      <c r="C8" s="17" t="e">
        <f>C5</f>
        <v>#N/A</v>
      </c>
      <c r="D8" s="17" t="e">
        <f t="shared" ref="D8:I8" si="1">D5</f>
        <v>#N/A</v>
      </c>
      <c r="E8" s="17" t="e">
        <f t="shared" si="1"/>
        <v>#N/A</v>
      </c>
      <c r="F8" s="17" t="e">
        <f t="shared" si="1"/>
        <v>#N/A</v>
      </c>
      <c r="G8" s="17" t="e">
        <f t="shared" si="1"/>
        <v>#N/A</v>
      </c>
      <c r="H8" s="17" t="e">
        <f t="shared" si="1"/>
        <v>#N/A</v>
      </c>
      <c r="I8" s="17" t="e">
        <f t="shared" si="1"/>
        <v>#N/A</v>
      </c>
      <c r="J8" s="294"/>
      <c r="M8" s="372" t="e">
        <f>M5</f>
        <v>#N/A</v>
      </c>
      <c r="N8" s="372" t="e">
        <f>N5</f>
        <v>#N/A</v>
      </c>
      <c r="O8" s="372" t="e">
        <f>O5</f>
        <v>#N/A</v>
      </c>
      <c r="P8" s="372" t="e">
        <f>P5</f>
        <v>#N/A</v>
      </c>
      <c r="Q8" s="372" t="e">
        <f>Q5</f>
        <v>#N/A</v>
      </c>
      <c r="R8" s="184" t="s">
        <v>490</v>
      </c>
    </row>
    <row r="10" spans="1:18" x14ac:dyDescent="0.3">
      <c r="B10" s="1"/>
    </row>
    <row r="11" spans="1:18" x14ac:dyDescent="0.3">
      <c r="A11" s="1"/>
      <c r="B11" s="1"/>
      <c r="I11" s="312"/>
    </row>
    <row r="12" spans="1:18" x14ac:dyDescent="0.3">
      <c r="B12" s="28"/>
      <c r="I12" s="311"/>
    </row>
    <row r="13" spans="1:18" x14ac:dyDescent="0.3">
      <c r="B13" s="1"/>
      <c r="I13" s="312"/>
    </row>
  </sheetData>
  <customSheetViews>
    <customSheetView guid="{C6E026A6-065F-4BC7-8A1C-5537BAE31A06}" state="hidden">
      <pageMargins left="0" right="0" top="0" bottom="0" header="0" footer="0"/>
    </customSheetView>
    <customSheetView guid="{C1E42E27-80DF-5D46-A74B-2BA4AA86045C}" state="hidden">
      <pageMargins left="0" right="0" top="0" bottom="0" header="0" footer="0"/>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4"/>
  <sheetViews>
    <sheetView workbookViewId="0">
      <selection activeCell="C5" sqref="C5:F5"/>
    </sheetView>
  </sheetViews>
  <sheetFormatPr defaultColWidth="8.81640625" defaultRowHeight="13" x14ac:dyDescent="0.3"/>
  <cols>
    <col min="1" max="1" width="29.1796875" style="184" bestFit="1" customWidth="1"/>
    <col min="2" max="2" width="15" style="184" customWidth="1"/>
    <col min="3" max="3" width="11.453125" style="184" customWidth="1"/>
    <col min="4" max="4" width="12" style="184" customWidth="1"/>
    <col min="5" max="5" width="11.453125" style="184" customWidth="1"/>
    <col min="6" max="6" width="12.1796875" style="184" customWidth="1"/>
    <col min="7" max="7" width="12.26953125" style="184" customWidth="1"/>
    <col min="8" max="8" width="11" style="184" customWidth="1"/>
    <col min="9" max="9" width="13.7265625" style="184" bestFit="1" customWidth="1"/>
    <col min="10" max="10" width="8.81640625" style="184" customWidth="1"/>
    <col min="11" max="11" width="10.81640625" style="184" bestFit="1" customWidth="1"/>
    <col min="12" max="12" width="11.81640625" style="184" customWidth="1"/>
    <col min="13" max="13" width="11.453125" style="184" customWidth="1"/>
    <col min="14" max="14" width="11.1796875" style="184" customWidth="1"/>
    <col min="15" max="15" width="11.453125" style="184" customWidth="1"/>
    <col min="16" max="16384" width="8.81640625" style="184"/>
  </cols>
  <sheetData>
    <row r="1" spans="1:16" ht="14.5" customHeight="1" x14ac:dyDescent="0.3">
      <c r="A1" s="2" t="s">
        <v>269</v>
      </c>
      <c r="C1" s="845" t="s">
        <v>270</v>
      </c>
      <c r="D1" s="845" t="s">
        <v>218</v>
      </c>
      <c r="E1" s="845" t="s">
        <v>219</v>
      </c>
      <c r="F1" s="845" t="s">
        <v>220</v>
      </c>
      <c r="G1" s="845" t="s">
        <v>221</v>
      </c>
      <c r="H1" s="845" t="s">
        <v>222</v>
      </c>
      <c r="I1" s="845" t="s">
        <v>223</v>
      </c>
      <c r="K1" s="849" t="s">
        <v>498</v>
      </c>
      <c r="L1" s="849" t="s">
        <v>492</v>
      </c>
      <c r="M1" s="849" t="s">
        <v>493</v>
      </c>
      <c r="N1" s="849" t="s">
        <v>494</v>
      </c>
      <c r="O1" s="849" t="s">
        <v>495</v>
      </c>
    </row>
    <row r="2" spans="1:16" ht="13" customHeight="1" x14ac:dyDescent="0.3">
      <c r="A2" s="2" t="s">
        <v>257</v>
      </c>
      <c r="B2" s="2" t="s">
        <v>80</v>
      </c>
      <c r="C2" s="846"/>
      <c r="D2" s="846"/>
      <c r="E2" s="846"/>
      <c r="F2" s="846"/>
      <c r="G2" s="846"/>
      <c r="H2" s="846"/>
      <c r="I2" s="846"/>
      <c r="J2" s="2" t="s">
        <v>80</v>
      </c>
      <c r="K2" s="850"/>
      <c r="L2" s="850"/>
      <c r="M2" s="850"/>
      <c r="N2" s="850"/>
      <c r="O2" s="850"/>
    </row>
    <row r="3" spans="1:16" x14ac:dyDescent="0.3">
      <c r="A3" s="9" t="s">
        <v>271</v>
      </c>
      <c r="B3" s="9" t="s">
        <v>262</v>
      </c>
      <c r="C3" s="85" t="e">
        <f>VLOOKUP(Input!$C$10,DropDowns_LookUps!$A$11:$I$16,9,FALSE)</f>
        <v>#N/A</v>
      </c>
      <c r="D3" s="85" t="e">
        <f>VLOOKUP(Input!$C$10,DropDowns_LookUps!$A$11:$I$16,9,FALSE)</f>
        <v>#N/A</v>
      </c>
      <c r="E3" s="85" t="e">
        <f>VLOOKUP(Input!$C$10,DropDowns_LookUps!$A$11:$I$16,9,FALSE)</f>
        <v>#N/A</v>
      </c>
      <c r="F3" s="85" t="e">
        <f>VLOOKUP(Input!$C$10,DropDowns_LookUps!$A$11:$I$16,9,FALSE)</f>
        <v>#N/A</v>
      </c>
      <c r="G3" s="85" t="e">
        <f>VLOOKUP(Input!$C$10,DropDowns_LookUps!$A$11:$I$16,9,FALSE)</f>
        <v>#N/A</v>
      </c>
      <c r="H3" s="85" t="e">
        <f>VLOOKUP(Input!$C$10,DropDowns_LookUps!$A$11:$I$16,9,FALSE)</f>
        <v>#N/A</v>
      </c>
      <c r="I3" s="85" t="e">
        <f>VLOOKUP(Input!$C$10,DropDowns_LookUps!$A$11:$I$16,9,FALSE)</f>
        <v>#N/A</v>
      </c>
      <c r="K3" s="279" t="e">
        <f>VLOOKUP(Input!$C$10,DropDowns_LookUps!$A$11:$I$16,9,FALSE)</f>
        <v>#N/A</v>
      </c>
      <c r="L3" s="279" t="e">
        <f>VLOOKUP(Input!$C$10,DropDowns_LookUps!$A$11:$I$16,9,FALSE)</f>
        <v>#N/A</v>
      </c>
      <c r="M3" s="279" t="e">
        <f>VLOOKUP(Input!$C$10,DropDowns_LookUps!$A$11:$I$16,9,FALSE)</f>
        <v>#N/A</v>
      </c>
      <c r="N3" s="279" t="e">
        <f>VLOOKUP(Input!$C$10,DropDowns_LookUps!$A$11:$I$16,9,FALSE)</f>
        <v>#N/A</v>
      </c>
      <c r="O3" s="279" t="e">
        <f>VLOOKUP(Input!$C$10,DropDowns_LookUps!$A$11:$I$16,9,FALSE)</f>
        <v>#N/A</v>
      </c>
      <c r="P3" s="184" t="s">
        <v>503</v>
      </c>
    </row>
    <row r="4" spans="1:16" x14ac:dyDescent="0.3">
      <c r="A4" s="9" t="s">
        <v>272</v>
      </c>
      <c r="B4" s="9" t="s">
        <v>263</v>
      </c>
      <c r="C4" s="18">
        <f>ROUNDDOWN(TonnageImpacts!C4/Number_of_Hh_per_Drop_Off_site,0)</f>
        <v>0</v>
      </c>
      <c r="D4" s="11" t="e">
        <f>IF(ContainerCosts!D3&gt;0,Input!$C$8,TonnageImpacts!D6)</f>
        <v>#N/A</v>
      </c>
      <c r="E4" s="11" t="e">
        <f>IF(ContainerCosts!E3&gt;0,Input!$C$8,TonnageImpacts!E6)</f>
        <v>#N/A</v>
      </c>
      <c r="F4" s="11" t="e">
        <f>IF(ContainerCosts!F3&gt;0,Input!$C$8,TonnageImpacts!F6)</f>
        <v>#N/A</v>
      </c>
      <c r="G4" s="11" t="e">
        <f>IF(ContainerCosts!G3&gt;0,Input!$C$8,TonnageImpacts!G6)</f>
        <v>#N/A</v>
      </c>
      <c r="H4" s="11" t="e">
        <f>IF(ContainerCosts!H3&gt;0,Input!$C$8,TonnageImpacts!H6)</f>
        <v>#N/A</v>
      </c>
      <c r="I4" s="11" t="e">
        <f>IF(ContainerCosts!I3&gt;0,Input!$C$8,TonnageImpacts!I6)</f>
        <v>#N/A</v>
      </c>
      <c r="J4" s="9" t="s">
        <v>263</v>
      </c>
      <c r="K4" s="282"/>
      <c r="L4" s="283" t="e">
        <f>IF(ContainerCosts!D3&gt;0,Input!$C$8,TonnageImpacts!L6)</f>
        <v>#N/A</v>
      </c>
      <c r="M4" s="283" t="e">
        <f>IF(ContainerCosts!E3&gt;0,Input!$C$8,TonnageImpacts!M6)</f>
        <v>#N/A</v>
      </c>
      <c r="N4" s="283" t="e">
        <f>IF(ContainerCosts!F3&gt;0,Input!$C$8,TonnageImpacts!N6)</f>
        <v>#N/A</v>
      </c>
      <c r="O4" s="283" t="e">
        <f>IF(ContainerCosts!G3&gt;0,Input!$C$8,TonnageImpacts!O6)</f>
        <v>#N/A</v>
      </c>
    </row>
    <row r="5" spans="1:16" x14ac:dyDescent="0.3">
      <c r="A5" s="9" t="s">
        <v>273</v>
      </c>
      <c r="B5" s="9" t="s">
        <v>274</v>
      </c>
      <c r="C5" s="14">
        <v>0</v>
      </c>
      <c r="D5" s="14">
        <f>AssumptionTables!$C$6</f>
        <v>0.05</v>
      </c>
      <c r="E5" s="14">
        <f>AssumptionTables!$C$6</f>
        <v>0.05</v>
      </c>
      <c r="F5" s="14">
        <f>AssumptionTables!$C$6</f>
        <v>0.05</v>
      </c>
      <c r="G5" s="14">
        <f>AssumptionTables!$C$6</f>
        <v>0.05</v>
      </c>
      <c r="H5" s="14">
        <f>AssumptionTables!$C$6</f>
        <v>0.05</v>
      </c>
      <c r="I5" s="14">
        <f>AssumptionTables!$C$6</f>
        <v>0.05</v>
      </c>
      <c r="J5" s="15" t="s">
        <v>274</v>
      </c>
      <c r="K5" s="282"/>
      <c r="L5" s="280">
        <f>AssumptionTables!$C$6</f>
        <v>0.05</v>
      </c>
      <c r="M5" s="280">
        <f>AssumptionTables!$C$6</f>
        <v>0.05</v>
      </c>
      <c r="N5" s="280">
        <f>AssumptionTables!$C$6</f>
        <v>0.05</v>
      </c>
      <c r="O5" s="280">
        <f>AssumptionTables!$C$6</f>
        <v>0.05</v>
      </c>
      <c r="P5" s="184" t="s">
        <v>490</v>
      </c>
    </row>
    <row r="6" spans="1:16" x14ac:dyDescent="0.3">
      <c r="A6" s="9" t="s">
        <v>275</v>
      </c>
      <c r="B6" s="9" t="s">
        <v>274</v>
      </c>
      <c r="C6" s="13">
        <f>AssumptionTables!C47</f>
        <v>8000</v>
      </c>
      <c r="D6" s="13">
        <f>AssumptionTables!C5</f>
        <v>20</v>
      </c>
      <c r="E6" s="13">
        <f>AssumptionTables!C5</f>
        <v>20</v>
      </c>
      <c r="F6" s="13">
        <f>AssumptionTables!$C$4</f>
        <v>60</v>
      </c>
      <c r="G6" s="13">
        <f>AssumptionTables!$C$4</f>
        <v>60</v>
      </c>
      <c r="H6" s="13">
        <f>AssumptionTables!$C$4</f>
        <v>60</v>
      </c>
      <c r="I6" s="13">
        <f>AssumptionTables!$C$4</f>
        <v>60</v>
      </c>
      <c r="J6" s="15" t="s">
        <v>274</v>
      </c>
      <c r="K6" s="282"/>
      <c r="L6" s="284">
        <f>AssumptionTables!$C$4</f>
        <v>60</v>
      </c>
      <c r="M6" s="284">
        <f>AssumptionTables!$C$4</f>
        <v>60</v>
      </c>
      <c r="N6" s="284">
        <f>AssumptionTables!$C$4</f>
        <v>60</v>
      </c>
      <c r="O6" s="284">
        <f>AssumptionTables!$C$4</f>
        <v>60</v>
      </c>
      <c r="P6" s="184" t="s">
        <v>490</v>
      </c>
    </row>
    <row r="7" spans="1:16" x14ac:dyDescent="0.3">
      <c r="A7" s="15" t="s">
        <v>276</v>
      </c>
      <c r="B7" s="15" t="s">
        <v>277</v>
      </c>
      <c r="C7" s="3">
        <v>1</v>
      </c>
      <c r="D7" s="3">
        <v>2</v>
      </c>
      <c r="E7" s="3">
        <v>2</v>
      </c>
      <c r="F7" s="3">
        <v>2</v>
      </c>
      <c r="G7" s="3">
        <v>2</v>
      </c>
      <c r="H7" s="3">
        <v>1</v>
      </c>
      <c r="I7" s="3">
        <v>1</v>
      </c>
      <c r="K7" s="279" t="s">
        <v>504</v>
      </c>
      <c r="L7" s="279" t="s">
        <v>504</v>
      </c>
      <c r="M7" s="279" t="s">
        <v>504</v>
      </c>
      <c r="N7" s="279" t="s">
        <v>504</v>
      </c>
      <c r="O7" s="279" t="s">
        <v>504</v>
      </c>
      <c r="P7" s="184" t="s">
        <v>490</v>
      </c>
    </row>
    <row r="8" spans="1:16" x14ac:dyDescent="0.3">
      <c r="A8" s="9" t="s">
        <v>278</v>
      </c>
      <c r="B8" s="9" t="s">
        <v>263</v>
      </c>
      <c r="C8" s="13">
        <f>((C4+(C4*C5))*C6)*C7</f>
        <v>0</v>
      </c>
      <c r="D8" s="13" t="e">
        <f>((D4+(D4*D5))*D6)*D7</f>
        <v>#N/A</v>
      </c>
      <c r="E8" s="13" t="e">
        <f t="shared" ref="E8:I8" si="0">((E4+(E4*E5))*E6)*E7</f>
        <v>#N/A</v>
      </c>
      <c r="F8" s="13" t="e">
        <f>((F4+(F4*F5))*F6)*F7</f>
        <v>#N/A</v>
      </c>
      <c r="G8" s="13" t="e">
        <f t="shared" si="0"/>
        <v>#N/A</v>
      </c>
      <c r="H8" s="13" t="e">
        <f t="shared" si="0"/>
        <v>#N/A</v>
      </c>
      <c r="I8" s="13" t="e">
        <f t="shared" si="0"/>
        <v>#N/A</v>
      </c>
      <c r="J8" s="9" t="s">
        <v>263</v>
      </c>
      <c r="K8" s="279">
        <f>((K4+(K4*K5))*K6)</f>
        <v>0</v>
      </c>
      <c r="L8" s="285" t="e">
        <f>((L4+(L4*L5))*L6)</f>
        <v>#N/A</v>
      </c>
      <c r="M8" s="285" t="e">
        <f t="shared" ref="M8:O8" si="1">((M4+(M4*M5))*M6)</f>
        <v>#N/A</v>
      </c>
      <c r="N8" s="285" t="e">
        <f t="shared" si="1"/>
        <v>#N/A</v>
      </c>
      <c r="O8" s="285" t="e">
        <f t="shared" si="1"/>
        <v>#N/A</v>
      </c>
      <c r="P8" s="184" t="s">
        <v>490</v>
      </c>
    </row>
    <row r="9" spans="1:16" x14ac:dyDescent="0.3">
      <c r="A9" s="9" t="s">
        <v>279</v>
      </c>
      <c r="B9" s="9" t="s">
        <v>280</v>
      </c>
      <c r="C9" s="13">
        <f>-PMT(AssumptionTables!$C$18,AssumptionTables!$C$17,ContainerCosts!C8)</f>
        <v>0</v>
      </c>
      <c r="D9" s="13" t="e">
        <f>-PMT(AssumptionTables!$C$18,AssumptionTables!$C$17,ContainerCosts!D8)</f>
        <v>#N/A</v>
      </c>
      <c r="E9" s="13" t="e">
        <f>-PMT(AssumptionTables!$C$18,AssumptionTables!$C$17,ContainerCosts!E8)</f>
        <v>#N/A</v>
      </c>
      <c r="F9" s="13" t="e">
        <f>-PMT(AssumptionTables!$C$18,AssumptionTables!$C$17,ContainerCosts!F8)</f>
        <v>#N/A</v>
      </c>
      <c r="G9" s="13" t="e">
        <f>-PMT(AssumptionTables!$C$18,AssumptionTables!$C$17,ContainerCosts!G8)</f>
        <v>#N/A</v>
      </c>
      <c r="H9" s="13" t="e">
        <f>-PMT(AssumptionTables!$C$18,AssumptionTables!$C$17,ContainerCosts!H8)</f>
        <v>#N/A</v>
      </c>
      <c r="I9" s="13" t="e">
        <f>-PMT(AssumptionTables!$C$18,AssumptionTables!$C$17,ContainerCosts!I8)</f>
        <v>#N/A</v>
      </c>
      <c r="J9" s="9" t="s">
        <v>280</v>
      </c>
      <c r="K9" s="281">
        <f>-PMT(AssumptionTables!$C$18,AssumptionTables!$C$17,ContainerCosts!K8)</f>
        <v>0</v>
      </c>
      <c r="L9" s="285" t="e">
        <f>-PMT(AssumptionTables!$C$18,AssumptionTables!$C$17,ContainerCosts!L8)</f>
        <v>#N/A</v>
      </c>
      <c r="M9" s="285" t="e">
        <f>-PMT(AssumptionTables!$C$18,AssumptionTables!$C$17,ContainerCosts!M8)</f>
        <v>#N/A</v>
      </c>
      <c r="N9" s="285" t="e">
        <f>-PMT(AssumptionTables!$C$18,AssumptionTables!$C$17,ContainerCosts!N8)</f>
        <v>#N/A</v>
      </c>
      <c r="O9" s="285" t="e">
        <f>-PMT(AssumptionTables!$C$18,AssumptionTables!$C$17,ContainerCosts!O8)</f>
        <v>#N/A</v>
      </c>
      <c r="P9" s="184" t="s">
        <v>490</v>
      </c>
    </row>
    <row r="10" spans="1:16" x14ac:dyDescent="0.3">
      <c r="A10" s="9" t="s">
        <v>281</v>
      </c>
      <c r="B10" s="9" t="s">
        <v>263</v>
      </c>
      <c r="C10" s="13">
        <f>C9*AssumptionTables!$C$17</f>
        <v>0</v>
      </c>
      <c r="D10" s="13" t="e">
        <f>D9*AssumptionTables!$C$17</f>
        <v>#N/A</v>
      </c>
      <c r="E10" s="13" t="e">
        <f>E9*AssumptionTables!$C$17</f>
        <v>#N/A</v>
      </c>
      <c r="F10" s="13" t="e">
        <f>F9*AssumptionTables!$C$17</f>
        <v>#N/A</v>
      </c>
      <c r="G10" s="13" t="e">
        <f>G9*AssumptionTables!$C$17</f>
        <v>#N/A</v>
      </c>
      <c r="H10" s="13" t="e">
        <f>H9*AssumptionTables!$C$17</f>
        <v>#N/A</v>
      </c>
      <c r="I10" s="13" t="e">
        <f>I9*AssumptionTables!$C$17</f>
        <v>#N/A</v>
      </c>
      <c r="J10" s="9" t="s">
        <v>263</v>
      </c>
      <c r="K10" s="287">
        <f>K9*AssumptionTables!$C$17</f>
        <v>0</v>
      </c>
      <c r="L10" s="287" t="e">
        <f>L9*AssumptionTables!$C$17</f>
        <v>#N/A</v>
      </c>
      <c r="M10" s="287" t="e">
        <f>M9*AssumptionTables!$C$17</f>
        <v>#N/A</v>
      </c>
      <c r="N10" s="287" t="e">
        <f>N9*AssumptionTables!$C$17</f>
        <v>#N/A</v>
      </c>
      <c r="O10" s="287" t="e">
        <f>O9*AssumptionTables!$C$17</f>
        <v>#N/A</v>
      </c>
      <c r="P10" s="184" t="s">
        <v>490</v>
      </c>
    </row>
    <row r="11" spans="1:16" x14ac:dyDescent="0.3">
      <c r="A11" s="9" t="s">
        <v>282</v>
      </c>
      <c r="B11" s="9" t="s">
        <v>263</v>
      </c>
      <c r="C11" s="13">
        <f>C4*AssumptionTables!$C$8*C6</f>
        <v>0</v>
      </c>
      <c r="D11" s="13" t="e">
        <f>D4*AssumptionTables!$C$8*D6</f>
        <v>#N/A</v>
      </c>
      <c r="E11" s="13" t="e">
        <f>E4*AssumptionTables!$C$8*E6</f>
        <v>#N/A</v>
      </c>
      <c r="F11" s="13" t="e">
        <f>F4*AssumptionTables!$C$9*F6</f>
        <v>#N/A</v>
      </c>
      <c r="G11" s="13" t="e">
        <f>G4*AssumptionTables!$C$9*G6</f>
        <v>#N/A</v>
      </c>
      <c r="H11" s="13" t="e">
        <f>H4*AssumptionTables!$C$7*H6</f>
        <v>#N/A</v>
      </c>
      <c r="I11" s="13" t="e">
        <f>I4*AssumptionTables!$C$7*I6</f>
        <v>#N/A</v>
      </c>
      <c r="J11" s="9" t="s">
        <v>263</v>
      </c>
      <c r="K11" s="287">
        <f>K4*AssumptionTables!$C$7*K6</f>
        <v>0</v>
      </c>
      <c r="L11" s="287" t="e">
        <f>L4*AssumptionTables!$C$7*L6</f>
        <v>#N/A</v>
      </c>
      <c r="M11" s="287" t="e">
        <f>M4*AssumptionTables!$C$7*M6</f>
        <v>#N/A</v>
      </c>
      <c r="N11" s="287" t="e">
        <f>N4*AssumptionTables!$C$7*N6</f>
        <v>#N/A</v>
      </c>
      <c r="O11" s="287" t="e">
        <f>O4*AssumptionTables!$C$7*O6</f>
        <v>#N/A</v>
      </c>
      <c r="P11" s="184" t="s">
        <v>490</v>
      </c>
    </row>
    <row r="12" spans="1:16" x14ac:dyDescent="0.3">
      <c r="A12" s="15" t="s">
        <v>283</v>
      </c>
      <c r="B12" s="15" t="s">
        <v>274</v>
      </c>
      <c r="C12" s="24">
        <v>0</v>
      </c>
      <c r="D12" s="10">
        <f>AssumptionTables!$C$11</f>
        <v>0.5</v>
      </c>
      <c r="E12" s="10">
        <f>AssumptionTables!$C$11</f>
        <v>0.5</v>
      </c>
      <c r="F12" s="10">
        <f>AssumptionTables!$C$10</f>
        <v>1.75</v>
      </c>
      <c r="G12" s="10">
        <f>AssumptionTables!$C$10</f>
        <v>1.75</v>
      </c>
      <c r="H12" s="10">
        <f>AssumptionTables!$C$10</f>
        <v>1.75</v>
      </c>
      <c r="I12" s="10">
        <f>AssumptionTables!$C$10</f>
        <v>1.75</v>
      </c>
      <c r="J12" s="15" t="s">
        <v>274</v>
      </c>
      <c r="K12" s="281"/>
      <c r="L12" s="281">
        <f>AssumptionTables!$C$10</f>
        <v>1.75</v>
      </c>
      <c r="M12" s="281">
        <f>AssumptionTables!$C$10</f>
        <v>1.75</v>
      </c>
      <c r="N12" s="281">
        <f>AssumptionTables!$C$10</f>
        <v>1.75</v>
      </c>
      <c r="O12" s="281">
        <f>AssumptionTables!$C$10</f>
        <v>1.75</v>
      </c>
      <c r="P12" s="184" t="s">
        <v>490</v>
      </c>
    </row>
    <row r="13" spans="1:16" x14ac:dyDescent="0.3">
      <c r="A13" s="15" t="s">
        <v>284</v>
      </c>
      <c r="B13" s="15" t="s">
        <v>274</v>
      </c>
      <c r="C13" s="24">
        <v>0</v>
      </c>
      <c r="D13" s="10">
        <f>AssumptionTables!C13</f>
        <v>0</v>
      </c>
      <c r="E13" s="10">
        <f>AssumptionTables!C13</f>
        <v>0</v>
      </c>
      <c r="F13" s="10">
        <f>AssumptionTables!C11</f>
        <v>0.5</v>
      </c>
      <c r="G13" s="10">
        <f>AssumptionTables!C11</f>
        <v>0.5</v>
      </c>
      <c r="H13" s="10">
        <f>AssumptionTables!C11</f>
        <v>0.5</v>
      </c>
      <c r="I13" s="10">
        <f>AssumptionTables!C11</f>
        <v>0.5</v>
      </c>
      <c r="J13" s="15" t="s">
        <v>274</v>
      </c>
      <c r="K13" s="279"/>
      <c r="L13" s="281">
        <f>AssumptionTables!$C$12</f>
        <v>0.5</v>
      </c>
      <c r="M13" s="281">
        <f>AssumptionTables!$C$12</f>
        <v>0.5</v>
      </c>
      <c r="N13" s="281">
        <f>AssumptionTables!$C$12</f>
        <v>0.5</v>
      </c>
      <c r="O13" s="281">
        <f>AssumptionTables!$C$12</f>
        <v>0.5</v>
      </c>
      <c r="P13" s="184" t="s">
        <v>490</v>
      </c>
    </row>
    <row r="14" spans="1:16" x14ac:dyDescent="0.3">
      <c r="A14" s="15" t="s">
        <v>285</v>
      </c>
      <c r="B14" s="15" t="s">
        <v>274</v>
      </c>
      <c r="C14" s="3">
        <f>AssumptionTables!$C$14</f>
        <v>0.66</v>
      </c>
      <c r="D14" s="3">
        <f>AssumptionTables!$C$14</f>
        <v>0.66</v>
      </c>
      <c r="E14" s="3">
        <f>AssumptionTables!$C$14</f>
        <v>0.66</v>
      </c>
      <c r="F14" s="3">
        <f>AssumptionTables!$C$14</f>
        <v>0.66</v>
      </c>
      <c r="G14" s="3">
        <f>AssumptionTables!$C$14</f>
        <v>0.66</v>
      </c>
      <c r="H14" s="3">
        <f>AssumptionTables!$C$14</f>
        <v>0.66</v>
      </c>
      <c r="I14" s="94">
        <f>AssumptionTables!$C$14</f>
        <v>0.66</v>
      </c>
      <c r="J14" s="15" t="s">
        <v>274</v>
      </c>
      <c r="K14" s="286">
        <f>AssumptionTables!$C$14</f>
        <v>0.66</v>
      </c>
      <c r="L14" s="286">
        <f>AssumptionTables!$C$14</f>
        <v>0.66</v>
      </c>
      <c r="M14" s="286">
        <f>AssumptionTables!$C$14</f>
        <v>0.66</v>
      </c>
      <c r="N14" s="286">
        <f>AssumptionTables!$C$14</f>
        <v>0.66</v>
      </c>
      <c r="O14" s="286">
        <f>AssumptionTables!$C$14</f>
        <v>0.66</v>
      </c>
      <c r="P14" s="184" t="s">
        <v>490</v>
      </c>
    </row>
    <row r="15" spans="1:16" x14ac:dyDescent="0.3">
      <c r="A15" s="15" t="s">
        <v>286</v>
      </c>
      <c r="B15" s="15" t="s">
        <v>263</v>
      </c>
      <c r="C15" s="16">
        <v>0</v>
      </c>
      <c r="D15" s="16" t="e">
        <f>(D4*D12)+(D4*D14)</f>
        <v>#N/A</v>
      </c>
      <c r="E15" s="16" t="e">
        <f t="shared" ref="E15:H15" si="2">(E4*E12)+(E4*E14)</f>
        <v>#N/A</v>
      </c>
      <c r="F15" s="16" t="e">
        <f t="shared" si="2"/>
        <v>#N/A</v>
      </c>
      <c r="G15" s="16" t="e">
        <f t="shared" si="2"/>
        <v>#N/A</v>
      </c>
      <c r="H15" s="16" t="e">
        <f t="shared" si="2"/>
        <v>#N/A</v>
      </c>
      <c r="I15" s="16" t="e">
        <f>(I4*I12)+(I4*I14)</f>
        <v>#N/A</v>
      </c>
      <c r="J15" s="15" t="s">
        <v>263</v>
      </c>
      <c r="K15" s="288">
        <f t="shared" ref="K15:O15" si="3">(K4*K12)+(K4*K14)</f>
        <v>0</v>
      </c>
      <c r="L15" s="288" t="e">
        <f>(L4*L12)+(L4*L14)</f>
        <v>#N/A</v>
      </c>
      <c r="M15" s="288" t="e">
        <f>(M4*M12)+(M4*M14)</f>
        <v>#N/A</v>
      </c>
      <c r="N15" s="288" t="e">
        <f t="shared" si="3"/>
        <v>#N/A</v>
      </c>
      <c r="O15" s="288" t="e">
        <f t="shared" si="3"/>
        <v>#N/A</v>
      </c>
      <c r="P15" s="184" t="s">
        <v>490</v>
      </c>
    </row>
    <row r="16" spans="1:16" x14ac:dyDescent="0.3">
      <c r="A16" s="15" t="s">
        <v>287</v>
      </c>
      <c r="B16" s="15"/>
      <c r="C16" s="12">
        <f>(C4*C13)+C11</f>
        <v>0</v>
      </c>
      <c r="D16" s="12" t="e">
        <f>(D4*D13)+D11</f>
        <v>#N/A</v>
      </c>
      <c r="E16" s="12" t="e">
        <f t="shared" ref="E16:O16" si="4">(E4*E13)+E11</f>
        <v>#N/A</v>
      </c>
      <c r="F16" s="12" t="e">
        <f>(F4*F13)+F11</f>
        <v>#N/A</v>
      </c>
      <c r="G16" s="12" t="e">
        <f t="shared" si="4"/>
        <v>#N/A</v>
      </c>
      <c r="H16" s="12" t="e">
        <f t="shared" si="4"/>
        <v>#N/A</v>
      </c>
      <c r="I16" s="12" t="e">
        <f t="shared" si="4"/>
        <v>#N/A</v>
      </c>
      <c r="J16" s="15" t="s">
        <v>263</v>
      </c>
      <c r="K16" s="258">
        <f t="shared" si="4"/>
        <v>0</v>
      </c>
      <c r="L16" s="258" t="e">
        <f t="shared" si="4"/>
        <v>#N/A</v>
      </c>
      <c r="M16" s="258" t="e">
        <f t="shared" si="4"/>
        <v>#N/A</v>
      </c>
      <c r="N16" s="258" t="e">
        <f t="shared" si="4"/>
        <v>#N/A</v>
      </c>
      <c r="O16" s="258" t="e">
        <f t="shared" si="4"/>
        <v>#N/A</v>
      </c>
      <c r="P16" s="184" t="s">
        <v>490</v>
      </c>
    </row>
    <row r="17" spans="1:16" x14ac:dyDescent="0.3">
      <c r="A17" s="15"/>
      <c r="B17" s="15"/>
      <c r="C17" s="3"/>
      <c r="D17" s="3"/>
      <c r="E17" s="3"/>
      <c r="F17" s="3"/>
      <c r="G17" s="3"/>
      <c r="H17" s="3"/>
      <c r="I17" s="3"/>
      <c r="K17" s="279"/>
      <c r="L17" s="279"/>
      <c r="M17" s="279"/>
      <c r="N17" s="279"/>
      <c r="O17" s="279"/>
    </row>
    <row r="18" spans="1:16" x14ac:dyDescent="0.3">
      <c r="A18" s="15"/>
      <c r="B18" s="15"/>
      <c r="C18" s="3"/>
      <c r="D18" s="3"/>
      <c r="E18" s="3"/>
      <c r="F18" s="3"/>
      <c r="G18" s="3"/>
      <c r="H18" s="3"/>
      <c r="I18" s="3"/>
      <c r="K18" s="279"/>
      <c r="L18" s="279"/>
      <c r="M18" s="279"/>
      <c r="N18" s="279"/>
      <c r="O18" s="279"/>
    </row>
    <row r="19" spans="1:16" x14ac:dyDescent="0.3">
      <c r="A19" s="1"/>
      <c r="B19" s="1"/>
      <c r="C19" s="1"/>
      <c r="D19" s="1"/>
      <c r="E19" s="1"/>
      <c r="F19" s="1"/>
      <c r="G19" s="1"/>
      <c r="H19" s="1"/>
      <c r="I19" s="1"/>
    </row>
    <row r="20" spans="1:16" x14ac:dyDescent="0.3">
      <c r="A20" s="2" t="s">
        <v>266</v>
      </c>
      <c r="B20" s="1"/>
      <c r="C20" s="1"/>
      <c r="D20" s="1"/>
      <c r="E20" s="1"/>
      <c r="F20" s="1"/>
      <c r="G20" s="1"/>
      <c r="H20" s="1"/>
      <c r="I20" s="1"/>
    </row>
    <row r="21" spans="1:16" x14ac:dyDescent="0.3">
      <c r="A21" s="9" t="s">
        <v>59</v>
      </c>
      <c r="B21" s="9"/>
      <c r="C21" s="17">
        <f>C8</f>
        <v>0</v>
      </c>
      <c r="D21" s="17" t="e">
        <f t="shared" ref="D21:I21" si="5">D8</f>
        <v>#N/A</v>
      </c>
      <c r="E21" s="17" t="e">
        <f t="shared" si="5"/>
        <v>#N/A</v>
      </c>
      <c r="F21" s="17" t="e">
        <f t="shared" si="5"/>
        <v>#N/A</v>
      </c>
      <c r="G21" s="17" t="e">
        <f t="shared" si="5"/>
        <v>#N/A</v>
      </c>
      <c r="H21" s="17" t="e">
        <f t="shared" si="5"/>
        <v>#N/A</v>
      </c>
      <c r="I21" s="17" t="e">
        <f t="shared" si="5"/>
        <v>#N/A</v>
      </c>
      <c r="J21" s="17"/>
      <c r="K21" s="289">
        <f>K10</f>
        <v>0</v>
      </c>
      <c r="L21" s="289" t="e">
        <f>L10</f>
        <v>#N/A</v>
      </c>
      <c r="M21" s="289" t="e">
        <f>M10</f>
        <v>#N/A</v>
      </c>
      <c r="N21" s="289" t="e">
        <f>N10</f>
        <v>#N/A</v>
      </c>
      <c r="O21" s="289" t="e">
        <f>O10</f>
        <v>#N/A</v>
      </c>
      <c r="P21" s="184" t="s">
        <v>490</v>
      </c>
    </row>
    <row r="22" spans="1:16" x14ac:dyDescent="0.3">
      <c r="A22" s="9" t="s">
        <v>1054</v>
      </c>
      <c r="B22" s="9"/>
      <c r="C22" s="17">
        <f>C9</f>
        <v>0</v>
      </c>
      <c r="D22" s="17" t="e">
        <f t="shared" ref="D22:O22" si="6">D9</f>
        <v>#N/A</v>
      </c>
      <c r="E22" s="17" t="e">
        <f t="shared" si="6"/>
        <v>#N/A</v>
      </c>
      <c r="F22" s="17" t="e">
        <f t="shared" si="6"/>
        <v>#N/A</v>
      </c>
      <c r="G22" s="17" t="e">
        <f t="shared" si="6"/>
        <v>#N/A</v>
      </c>
      <c r="H22" s="17" t="e">
        <f t="shared" si="6"/>
        <v>#N/A</v>
      </c>
      <c r="I22" s="17" t="e">
        <f t="shared" si="6"/>
        <v>#N/A</v>
      </c>
      <c r="J22" s="17"/>
      <c r="K22" s="289">
        <f t="shared" si="6"/>
        <v>0</v>
      </c>
      <c r="L22" s="289" t="e">
        <f t="shared" si="6"/>
        <v>#N/A</v>
      </c>
      <c r="M22" s="289" t="e">
        <f t="shared" si="6"/>
        <v>#N/A</v>
      </c>
      <c r="N22" s="289" t="e">
        <f t="shared" si="6"/>
        <v>#N/A</v>
      </c>
      <c r="O22" s="289" t="e">
        <f t="shared" si="6"/>
        <v>#N/A</v>
      </c>
    </row>
    <row r="23" spans="1:16" x14ac:dyDescent="0.3">
      <c r="A23" s="9" t="s">
        <v>1055</v>
      </c>
      <c r="B23" s="9"/>
      <c r="C23" s="17">
        <f t="shared" ref="C23:I23" si="7">C16+C15</f>
        <v>0</v>
      </c>
      <c r="D23" s="17" t="e">
        <f t="shared" si="7"/>
        <v>#N/A</v>
      </c>
      <c r="E23" s="17" t="e">
        <f t="shared" si="7"/>
        <v>#N/A</v>
      </c>
      <c r="F23" s="17" t="e">
        <f t="shared" si="7"/>
        <v>#N/A</v>
      </c>
      <c r="G23" s="17" t="e">
        <f t="shared" si="7"/>
        <v>#N/A</v>
      </c>
      <c r="H23" s="17" t="e">
        <f t="shared" si="7"/>
        <v>#N/A</v>
      </c>
      <c r="I23" s="17" t="e">
        <f t="shared" si="7"/>
        <v>#N/A</v>
      </c>
      <c r="J23" s="17"/>
      <c r="K23" s="289">
        <f>K16+K15</f>
        <v>0</v>
      </c>
      <c r="L23" s="289" t="e">
        <f>L16+L15</f>
        <v>#N/A</v>
      </c>
      <c r="M23" s="289" t="e">
        <f>M16+M15</f>
        <v>#N/A</v>
      </c>
      <c r="N23" s="289" t="e">
        <f>N16+N15</f>
        <v>#N/A</v>
      </c>
      <c r="O23" s="289" t="e">
        <f>O16+O15</f>
        <v>#N/A</v>
      </c>
      <c r="P23" s="184" t="s">
        <v>490</v>
      </c>
    </row>
    <row r="24" spans="1:16" x14ac:dyDescent="0.3">
      <c r="A24" s="9" t="s">
        <v>1056</v>
      </c>
      <c r="B24" s="9"/>
      <c r="C24" s="17">
        <f>C22+C23</f>
        <v>0</v>
      </c>
      <c r="D24" s="17" t="e">
        <f t="shared" ref="D24:I24" si="8">D22+D23</f>
        <v>#N/A</v>
      </c>
      <c r="E24" s="17" t="e">
        <f t="shared" si="8"/>
        <v>#N/A</v>
      </c>
      <c r="F24" s="17" t="e">
        <f t="shared" si="8"/>
        <v>#N/A</v>
      </c>
      <c r="G24" s="17" t="e">
        <f t="shared" si="8"/>
        <v>#N/A</v>
      </c>
      <c r="H24" s="17" t="e">
        <f t="shared" si="8"/>
        <v>#N/A</v>
      </c>
      <c r="I24" s="17" t="e">
        <f t="shared" si="8"/>
        <v>#N/A</v>
      </c>
      <c r="J24" s="17"/>
      <c r="K24" s="289">
        <f t="shared" ref="K24:O24" si="9">K22+K23</f>
        <v>0</v>
      </c>
      <c r="L24" s="289" t="e">
        <f>L22+L23</f>
        <v>#N/A</v>
      </c>
      <c r="M24" s="289" t="e">
        <f t="shared" si="9"/>
        <v>#N/A</v>
      </c>
      <c r="N24" s="289" t="e">
        <f t="shared" si="9"/>
        <v>#N/A</v>
      </c>
      <c r="O24" s="289" t="e">
        <f t="shared" si="9"/>
        <v>#N/A</v>
      </c>
      <c r="P24" s="184" t="s">
        <v>490</v>
      </c>
    </row>
  </sheetData>
  <customSheetViews>
    <customSheetView guid="{C6E026A6-065F-4BC7-8A1C-5537BAE31A06}" state="hidden">
      <pageMargins left="0" right="0" top="0" bottom="0" header="0" footer="0"/>
    </customSheetView>
    <customSheetView guid="{C1E42E27-80DF-5D46-A74B-2BA4AA86045C}" state="hidden">
      <pageMargins left="0" right="0" top="0" bottom="0" header="0" footer="0"/>
    </customSheetView>
  </customSheetViews>
  <mergeCells count="12">
    <mergeCell ref="K1:K2"/>
    <mergeCell ref="L1:L2"/>
    <mergeCell ref="M1:M2"/>
    <mergeCell ref="N1:N2"/>
    <mergeCell ref="O1:O2"/>
    <mergeCell ref="C1:C2"/>
    <mergeCell ref="I1:I2"/>
    <mergeCell ref="H1:H2"/>
    <mergeCell ref="G1:G2"/>
    <mergeCell ref="F1:F2"/>
    <mergeCell ref="E1:E2"/>
    <mergeCell ref="D1:D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D20FA-B2DD-4F98-8B2A-7F1651325E67}">
  <sheetPr>
    <tabColor rgb="FF00B050"/>
  </sheetPr>
  <dimension ref="A1:Q166"/>
  <sheetViews>
    <sheetView workbookViewId="0">
      <selection activeCell="C5" sqref="C5:F5"/>
    </sheetView>
  </sheetViews>
  <sheetFormatPr defaultColWidth="8.81640625" defaultRowHeight="14.5" x14ac:dyDescent="0.35"/>
  <cols>
    <col min="1" max="1" width="4.81640625" style="383" customWidth="1"/>
    <col min="2" max="2" width="55.453125" customWidth="1"/>
    <col min="3" max="3" width="15.1796875" style="382" customWidth="1"/>
    <col min="4" max="4" width="11.453125" style="383" customWidth="1"/>
    <col min="5" max="5" width="16.453125" customWidth="1"/>
    <col min="6" max="6" width="15.453125" customWidth="1"/>
    <col min="7" max="7" width="17.26953125" customWidth="1"/>
    <col min="8" max="8" width="14.453125" customWidth="1"/>
    <col min="9" max="9" width="12" customWidth="1"/>
    <col min="10" max="10" width="22.81640625" bestFit="1" customWidth="1"/>
    <col min="11" max="11" width="2.81640625" customWidth="1"/>
    <col min="12" max="12" width="40.1796875" customWidth="1"/>
    <col min="13" max="13" width="12.81640625" bestFit="1" customWidth="1"/>
    <col min="14" max="14" width="11.453125" customWidth="1"/>
    <col min="15" max="15" width="12.453125" customWidth="1"/>
    <col min="17" max="17" width="8.81640625" customWidth="1"/>
    <col min="20" max="21" width="8.81640625" customWidth="1"/>
    <col min="23" max="23" width="8.81640625" customWidth="1"/>
  </cols>
  <sheetData>
    <row r="1" spans="2:15" ht="15.5" x14ac:dyDescent="0.35">
      <c r="G1" s="384"/>
      <c r="L1" s="385" t="s">
        <v>631</v>
      </c>
      <c r="M1" s="386"/>
      <c r="N1" s="386"/>
    </row>
    <row r="2" spans="2:15" x14ac:dyDescent="0.35">
      <c r="B2" s="387"/>
      <c r="L2" s="388" t="s">
        <v>632</v>
      </c>
      <c r="M2" s="389">
        <v>30</v>
      </c>
      <c r="N2" s="388" t="s">
        <v>633</v>
      </c>
    </row>
    <row r="3" spans="2:15" ht="24" thickBot="1" x14ac:dyDescent="0.6">
      <c r="B3" s="390"/>
      <c r="E3" s="391" t="s">
        <v>635</v>
      </c>
      <c r="F3" s="391"/>
      <c r="G3" s="853" t="s">
        <v>636</v>
      </c>
      <c r="H3" s="853"/>
      <c r="I3" s="853"/>
      <c r="J3" s="853"/>
      <c r="L3" s="388" t="s">
        <v>637</v>
      </c>
      <c r="M3" s="389">
        <v>80</v>
      </c>
      <c r="N3" s="388" t="s">
        <v>633</v>
      </c>
    </row>
    <row r="4" spans="2:15" ht="15" thickTop="1" x14ac:dyDescent="0.35">
      <c r="B4" s="392" t="s">
        <v>638</v>
      </c>
      <c r="C4" s="393"/>
      <c r="E4" s="387" t="s">
        <v>639</v>
      </c>
      <c r="F4" s="394" t="e">
        <f>H91</f>
        <v>#N/A</v>
      </c>
      <c r="G4" s="395" t="s">
        <v>640</v>
      </c>
      <c r="H4" s="396" t="s">
        <v>544</v>
      </c>
      <c r="I4" s="396" t="s">
        <v>641</v>
      </c>
      <c r="J4" s="396" t="s">
        <v>642</v>
      </c>
      <c r="L4" s="388" t="s">
        <v>643</v>
      </c>
      <c r="M4" s="388">
        <f>M2*M9</f>
        <v>150</v>
      </c>
      <c r="N4" s="388" t="s">
        <v>633</v>
      </c>
    </row>
    <row r="5" spans="2:15" x14ac:dyDescent="0.35">
      <c r="B5" s="392" t="s">
        <v>644</v>
      </c>
      <c r="C5" s="713">
        <f>-Input!E38</f>
        <v>0</v>
      </c>
      <c r="E5" s="387" t="s">
        <v>547</v>
      </c>
      <c r="F5" s="394" t="e">
        <f>F121-H91</f>
        <v>#N/A</v>
      </c>
      <c r="G5" s="397" t="s">
        <v>645</v>
      </c>
      <c r="H5" s="568">
        <v>0</v>
      </c>
      <c r="I5" s="382">
        <v>1500</v>
      </c>
      <c r="J5" s="382">
        <f>H5/I5*2000</f>
        <v>0</v>
      </c>
      <c r="L5" s="388" t="s">
        <v>646</v>
      </c>
      <c r="M5" s="398">
        <f>M4*M3</f>
        <v>12000</v>
      </c>
      <c r="N5" s="388" t="s">
        <v>647</v>
      </c>
    </row>
    <row r="6" spans="2:15" ht="15" thickBot="1" x14ac:dyDescent="0.4">
      <c r="B6" s="392" t="s">
        <v>648</v>
      </c>
      <c r="C6" s="693">
        <f>AssumptionTables!C65</f>
        <v>13</v>
      </c>
      <c r="E6" s="399" t="s">
        <v>73</v>
      </c>
      <c r="F6" s="400" t="e">
        <f>F4+F5</f>
        <v>#N/A</v>
      </c>
      <c r="G6" s="397" t="s">
        <v>649</v>
      </c>
      <c r="H6" s="568" t="e">
        <f>TonnageImpacts!L13</f>
        <v>#N/A</v>
      </c>
      <c r="I6" s="382">
        <v>750</v>
      </c>
      <c r="J6" s="382" t="e">
        <f>H6/I6*2000</f>
        <v>#N/A</v>
      </c>
      <c r="L6" s="388" t="s">
        <v>646</v>
      </c>
      <c r="M6" s="401">
        <f>M5/43560</f>
        <v>0.27548209366391185</v>
      </c>
      <c r="N6" s="388" t="s">
        <v>650</v>
      </c>
    </row>
    <row r="7" spans="2:15" ht="15" thickTop="1" x14ac:dyDescent="0.35">
      <c r="B7" s="392" t="s">
        <v>651</v>
      </c>
      <c r="C7" s="393">
        <v>0</v>
      </c>
      <c r="E7" s="387" t="s">
        <v>437</v>
      </c>
      <c r="F7" s="394" t="e">
        <f>C127</f>
        <v>#N/A</v>
      </c>
      <c r="G7" s="402" t="s">
        <v>652</v>
      </c>
      <c r="H7" s="403" t="e">
        <f>H5+H6</f>
        <v>#N/A</v>
      </c>
      <c r="I7" s="404"/>
      <c r="J7" s="403" t="e">
        <f>SUM(J5:J6)</f>
        <v>#N/A</v>
      </c>
      <c r="L7" s="388" t="s">
        <v>653</v>
      </c>
      <c r="M7" s="389">
        <v>12</v>
      </c>
      <c r="N7" s="388" t="s">
        <v>633</v>
      </c>
    </row>
    <row r="8" spans="2:15" ht="15" thickBot="1" x14ac:dyDescent="0.4">
      <c r="B8" s="392" t="s">
        <v>654</v>
      </c>
      <c r="C8" s="393">
        <v>0</v>
      </c>
      <c r="E8" s="399" t="s">
        <v>655</v>
      </c>
      <c r="F8" s="400" t="e">
        <f>F7-F6</f>
        <v>#N/A</v>
      </c>
      <c r="G8" s="395"/>
      <c r="H8" s="405" t="e">
        <f>H7</f>
        <v>#N/A</v>
      </c>
      <c r="I8" s="406"/>
      <c r="J8" s="405">
        <f>H5</f>
        <v>0</v>
      </c>
      <c r="L8" s="388" t="s">
        <v>656</v>
      </c>
      <c r="M8" s="407" t="s">
        <v>657</v>
      </c>
      <c r="N8" s="408">
        <v>1</v>
      </c>
    </row>
    <row r="9" spans="2:15" ht="15" thickTop="1" x14ac:dyDescent="0.35">
      <c r="B9" s="392" t="s">
        <v>654</v>
      </c>
      <c r="C9" s="393">
        <v>0</v>
      </c>
      <c r="G9" s="395" t="s">
        <v>658</v>
      </c>
      <c r="H9" s="602" t="e">
        <f>ROUND(H8/M18,0)</f>
        <v>#N/A</v>
      </c>
      <c r="I9" s="410" t="e">
        <f>(H8/M18)</f>
        <v>#N/A</v>
      </c>
      <c r="J9" s="411">
        <f>J8/O13</f>
        <v>0</v>
      </c>
      <c r="L9" s="388" t="s">
        <v>659</v>
      </c>
      <c r="M9" s="412">
        <v>5</v>
      </c>
      <c r="N9" s="388" t="s">
        <v>660</v>
      </c>
    </row>
    <row r="10" spans="2:15" x14ac:dyDescent="0.35">
      <c r="B10" s="392" t="s">
        <v>661</v>
      </c>
      <c r="C10" s="692" t="e">
        <f>H8</f>
        <v>#N/A</v>
      </c>
      <c r="D10" s="413"/>
      <c r="E10" s="387" t="s">
        <v>662</v>
      </c>
      <c r="F10" s="394" t="e">
        <f>-C125/C15</f>
        <v>#N/A</v>
      </c>
      <c r="G10" s="395" t="s">
        <v>663</v>
      </c>
      <c r="H10" s="414" t="e">
        <f>ROUND(H9*M6,1)</f>
        <v>#N/A</v>
      </c>
      <c r="L10" s="388" t="s">
        <v>664</v>
      </c>
      <c r="M10" s="415">
        <f>((M3-2*M7*N8)*(M2-2*M7*N8)+(M3*M2))/2*M7/27</f>
        <v>608</v>
      </c>
      <c r="N10" s="388" t="s">
        <v>665</v>
      </c>
    </row>
    <row r="11" spans="2:15" x14ac:dyDescent="0.35">
      <c r="B11" s="392" t="s">
        <v>666</v>
      </c>
      <c r="C11" s="416">
        <v>0</v>
      </c>
      <c r="E11" s="387" t="s">
        <v>667</v>
      </c>
      <c r="F11" s="417">
        <f>C7</f>
        <v>0</v>
      </c>
      <c r="G11" s="395" t="s">
        <v>668</v>
      </c>
      <c r="H11" s="405" t="e">
        <f>H9*M9</f>
        <v>#N/A</v>
      </c>
      <c r="L11" s="388" t="s">
        <v>669</v>
      </c>
      <c r="M11" s="415">
        <f>(((M3-2*M7*N8)*(M2*2-2*M7*N8)+(M3*M2*2))/2*M7/27)-(((M3-2*M7*N8)*(M2-2*M7*N8)+(M3*M2))/2*M7/27)</f>
        <v>906.66666666666674</v>
      </c>
      <c r="N11" s="388" t="s">
        <v>665</v>
      </c>
    </row>
    <row r="12" spans="2:15" ht="15" thickBot="1" x14ac:dyDescent="0.4">
      <c r="B12" s="392" t="s">
        <v>670</v>
      </c>
      <c r="C12" s="418" t="e">
        <f>ROUNDUP(C10/C15,0)</f>
        <v>#N/A</v>
      </c>
      <c r="E12" s="399" t="s">
        <v>671</v>
      </c>
      <c r="F12" s="400" t="e">
        <f>F8+F10+F11</f>
        <v>#N/A</v>
      </c>
      <c r="G12" s="395" t="s">
        <v>672</v>
      </c>
      <c r="H12" s="409" t="e">
        <f>C32</f>
        <v>#N/A</v>
      </c>
      <c r="L12" s="388" t="s">
        <v>673</v>
      </c>
      <c r="M12" s="415">
        <f>(M10+M11*(M9-1))/M9</f>
        <v>846.93333333333339</v>
      </c>
      <c r="N12" s="388" t="s">
        <v>665</v>
      </c>
    </row>
    <row r="13" spans="2:15" ht="15" thickTop="1" x14ac:dyDescent="0.35">
      <c r="B13" s="392" t="s">
        <v>674</v>
      </c>
      <c r="C13" s="418">
        <v>0</v>
      </c>
      <c r="J13" s="410"/>
      <c r="L13" s="419" t="s">
        <v>673</v>
      </c>
      <c r="M13" s="420">
        <f>M12</f>
        <v>846.93333333333339</v>
      </c>
      <c r="N13" s="419" t="s">
        <v>665</v>
      </c>
      <c r="O13" s="410">
        <f>M14*365/M16*M17/100</f>
        <v>37537.295238095241</v>
      </c>
    </row>
    <row r="14" spans="2:15" ht="15" thickBot="1" x14ac:dyDescent="0.4">
      <c r="B14" s="392" t="s">
        <v>412</v>
      </c>
      <c r="C14" s="569">
        <f>Interest_Rate</f>
        <v>0.03</v>
      </c>
      <c r="E14" s="399" t="s">
        <v>675</v>
      </c>
      <c r="F14" s="421" t="e">
        <f>F12*C10</f>
        <v>#N/A</v>
      </c>
      <c r="L14" s="388" t="s">
        <v>676</v>
      </c>
      <c r="M14" s="422">
        <f>M10+M11*(M9-1)</f>
        <v>4234.666666666667</v>
      </c>
      <c r="N14" s="388" t="s">
        <v>677</v>
      </c>
    </row>
    <row r="15" spans="2:15" ht="15" thickTop="1" x14ac:dyDescent="0.35">
      <c r="B15" s="392" t="s">
        <v>678</v>
      </c>
      <c r="C15" s="418" t="e">
        <f>C10*2</f>
        <v>#N/A</v>
      </c>
      <c r="E15" s="423"/>
      <c r="F15" s="424"/>
      <c r="L15" s="388" t="s">
        <v>679</v>
      </c>
      <c r="M15" s="422">
        <f>M14*500/2000</f>
        <v>1058.6666666666667</v>
      </c>
      <c r="N15" s="388" t="s">
        <v>544</v>
      </c>
    </row>
    <row r="16" spans="2:15" x14ac:dyDescent="0.35">
      <c r="E16" s="425"/>
      <c r="L16" s="388" t="s">
        <v>680</v>
      </c>
      <c r="M16" s="422">
        <v>35</v>
      </c>
      <c r="N16" s="388" t="s">
        <v>681</v>
      </c>
    </row>
    <row r="17" spans="1:17" ht="20" thickBot="1" x14ac:dyDescent="0.5">
      <c r="B17" s="426" t="s">
        <v>682</v>
      </c>
      <c r="C17" s="427"/>
      <c r="D17" s="428"/>
      <c r="E17" s="426"/>
      <c r="F17" s="426"/>
      <c r="G17" s="426"/>
      <c r="H17" s="426"/>
      <c r="L17" s="388" t="s">
        <v>683</v>
      </c>
      <c r="M17" s="429">
        <v>85</v>
      </c>
      <c r="N17" s="388" t="s">
        <v>684</v>
      </c>
    </row>
    <row r="18" spans="1:17" ht="30.5" thickTop="1" thickBot="1" x14ac:dyDescent="0.45">
      <c r="B18" s="430" t="s">
        <v>685</v>
      </c>
      <c r="C18" s="431" t="s">
        <v>686</v>
      </c>
      <c r="D18" s="432" t="s">
        <v>687</v>
      </c>
      <c r="E18" s="432" t="s">
        <v>688</v>
      </c>
      <c r="F18" s="432" t="s">
        <v>548</v>
      </c>
      <c r="G18" s="432" t="s">
        <v>689</v>
      </c>
      <c r="H18" s="433" t="s">
        <v>690</v>
      </c>
      <c r="L18" s="388" t="s">
        <v>679</v>
      </c>
      <c r="M18" s="422">
        <f>M15*365/M16*M17/100</f>
        <v>9384.3238095238103</v>
      </c>
      <c r="N18" s="388" t="s">
        <v>435</v>
      </c>
      <c r="Q18">
        <f>500*5000/2000</f>
        <v>1250</v>
      </c>
    </row>
    <row r="19" spans="1:17" ht="15" thickTop="1" x14ac:dyDescent="0.35">
      <c r="A19" s="383" t="s">
        <v>490</v>
      </c>
      <c r="B19" t="s">
        <v>691</v>
      </c>
      <c r="C19" s="382" t="e">
        <f>IF(J7&gt;50000,2,1)</f>
        <v>#N/A</v>
      </c>
      <c r="D19" s="383" t="s">
        <v>692</v>
      </c>
      <c r="E19" s="434">
        <v>165000</v>
      </c>
      <c r="F19" s="434" t="e">
        <f>IF(A19="x",C19*E19,0)</f>
        <v>#N/A</v>
      </c>
      <c r="G19" s="382">
        <f>Rolling_Stock_Amortisation</f>
        <v>8</v>
      </c>
      <c r="H19" s="434" t="e">
        <f t="shared" ref="H19:H26" si="0">PMT($C$14, G19, -F19)</f>
        <v>#N/A</v>
      </c>
      <c r="I19" t="s">
        <v>693</v>
      </c>
      <c r="M19" s="435">
        <f>M14*365/M16*M17/100</f>
        <v>37537.295238095241</v>
      </c>
      <c r="N19" s="436" t="s">
        <v>694</v>
      </c>
      <c r="Q19">
        <f>1250*2000/500</f>
        <v>5000</v>
      </c>
    </row>
    <row r="20" spans="1:17" x14ac:dyDescent="0.35">
      <c r="B20" t="s">
        <v>695</v>
      </c>
      <c r="C20" s="382">
        <v>1</v>
      </c>
      <c r="D20" s="383" t="s">
        <v>692</v>
      </c>
      <c r="E20" s="434">
        <v>165000</v>
      </c>
      <c r="F20" s="434">
        <f>IF(A20="x",C20*E20,0)</f>
        <v>0</v>
      </c>
      <c r="G20" s="382">
        <f>Rolling_Stock_Amortisation</f>
        <v>8</v>
      </c>
      <c r="H20" s="434">
        <f t="shared" si="0"/>
        <v>0</v>
      </c>
      <c r="I20" t="s">
        <v>693</v>
      </c>
      <c r="M20" s="437"/>
    </row>
    <row r="21" spans="1:17" x14ac:dyDescent="0.35">
      <c r="A21" s="383" t="s">
        <v>490</v>
      </c>
      <c r="B21" t="s">
        <v>696</v>
      </c>
      <c r="C21" s="382">
        <v>1</v>
      </c>
      <c r="D21" s="383" t="s">
        <v>692</v>
      </c>
      <c r="E21" s="434">
        <v>50000</v>
      </c>
      <c r="F21" s="434">
        <f>IF(A21="x",C21*E21,0)</f>
        <v>50000</v>
      </c>
      <c r="G21" s="382">
        <f>Rolling_Stock_Amortisation</f>
        <v>8</v>
      </c>
      <c r="H21" s="434">
        <f t="shared" si="0"/>
        <v>7122.8194413619585</v>
      </c>
      <c r="I21" t="s">
        <v>697</v>
      </c>
    </row>
    <row r="22" spans="1:17" x14ac:dyDescent="0.35">
      <c r="A22" s="383" t="s">
        <v>490</v>
      </c>
      <c r="B22" t="s">
        <v>698</v>
      </c>
      <c r="C22" s="438">
        <v>1</v>
      </c>
      <c r="D22" s="383" t="s">
        <v>692</v>
      </c>
      <c r="E22" s="599" t="e">
        <f>IF('Compost Equip'!J5&gt;10,'Compost Equip'!J4,IF('Compost Equip'!I5&gt;10,'Compost Equip'!I4,IF('Compost Equip'!H5&gt;10,'Compost Equip'!H4,IF('Compost Equip'!G5&gt;10,'Compost Equip'!G4,IF('Compost Equip'!F5&gt;10,'Compost Equip'!F4,IF('Compost Equip'!E5&gt;10,'Compost Equip'!E4,IF('Compost Equip'!D5&gt;10,'Compost Equip'!D4,'Compost Equip'!C4)))))))</f>
        <v>#N/A</v>
      </c>
      <c r="F22" s="434" t="e">
        <f t="shared" ref="F22:F28" si="1">IF(A22="x",C22*E22,0)</f>
        <v>#N/A</v>
      </c>
      <c r="G22" s="382">
        <f>Equipment_Amortisation</f>
        <v>10</v>
      </c>
      <c r="H22" s="434" t="e">
        <f t="shared" si="0"/>
        <v>#N/A</v>
      </c>
      <c r="I22" t="s">
        <v>699</v>
      </c>
    </row>
    <row r="23" spans="1:17" x14ac:dyDescent="0.35">
      <c r="A23" s="383" t="s">
        <v>490</v>
      </c>
      <c r="B23" s="559" t="s">
        <v>700</v>
      </c>
      <c r="C23" s="438">
        <v>1</v>
      </c>
      <c r="D23" s="383" t="s">
        <v>692</v>
      </c>
      <c r="E23" s="439" t="e">
        <f>IF('Compost Equip'!J12&gt;10,'Compost Equip'!J11,IF('Compost Equip'!I12&gt;10,'Compost Equip'!I11,IF('Compost Equip'!H12&gt;10,'Compost Equip'!H11,IF('Compost Equip'!G12&gt;10,'Compost Equip'!G11,IF('Compost Equip'!F12&gt;10,'Compost Equip'!F11,IF('Compost Equip'!E12&gt;10,'Compost Equip'!E11,IF('Compost Equip'!D12&gt;10,'Compost Equip'!D11,'Compost Equip'!C11)))))))</f>
        <v>#N/A</v>
      </c>
      <c r="F23" s="434" t="e">
        <f>IF(A23="x",C23*E23,0)</f>
        <v>#N/A</v>
      </c>
      <c r="G23" s="382">
        <f>Equipment_Amortisation</f>
        <v>10</v>
      </c>
      <c r="H23" s="434" t="e">
        <f>PMT($C$14, G23, -F23)</f>
        <v>#N/A</v>
      </c>
      <c r="I23" t="s">
        <v>701</v>
      </c>
    </row>
    <row r="24" spans="1:17" x14ac:dyDescent="0.35">
      <c r="A24" s="383" t="s">
        <v>490</v>
      </c>
      <c r="B24" t="s">
        <v>702</v>
      </c>
      <c r="C24" s="382">
        <v>1</v>
      </c>
      <c r="D24" s="383" t="s">
        <v>692</v>
      </c>
      <c r="E24" s="439" t="e">
        <f>IF('Compost Equip'!J17&gt;20,'Compost Equip'!J16,IF('Compost Equip'!I17&gt;20,'Compost Equip'!I16,IF('Compost Equip'!H17&gt;20,'Compost Equip'!H16,IF('Compost Equip'!G17&gt;20,'Compost Equip'!G16,IF('Compost Equip'!F17&gt;20,'Compost Equip'!F16,IF('Compost Equip'!E17&gt;20,'Compost Equip'!E16,IF('Compost Equip'!D17&gt;20,'Compost Equip'!D16,'Compost Equip'!C16)))))))</f>
        <v>#N/A</v>
      </c>
      <c r="F24" s="434" t="e">
        <f t="shared" si="1"/>
        <v>#N/A</v>
      </c>
      <c r="G24" s="382">
        <f>Equipment_Amortisation</f>
        <v>10</v>
      </c>
      <c r="H24" s="434" t="e">
        <f t="shared" si="0"/>
        <v>#N/A</v>
      </c>
      <c r="I24" t="s">
        <v>703</v>
      </c>
    </row>
    <row r="25" spans="1:17" x14ac:dyDescent="0.35">
      <c r="B25" t="s">
        <v>704</v>
      </c>
      <c r="C25" s="382">
        <v>1</v>
      </c>
      <c r="D25" s="383" t="s">
        <v>692</v>
      </c>
      <c r="E25" s="434">
        <v>50000</v>
      </c>
      <c r="F25" s="434">
        <f t="shared" si="1"/>
        <v>0</v>
      </c>
      <c r="G25" s="382">
        <f>Rolling_Stock_Amortisation</f>
        <v>8</v>
      </c>
      <c r="H25" s="434">
        <f t="shared" si="0"/>
        <v>0</v>
      </c>
      <c r="I25" t="s">
        <v>705</v>
      </c>
    </row>
    <row r="26" spans="1:17" x14ac:dyDescent="0.35">
      <c r="A26" s="383" t="s">
        <v>490</v>
      </c>
      <c r="B26" t="s">
        <v>706</v>
      </c>
      <c r="C26" s="382">
        <v>1</v>
      </c>
      <c r="D26" s="383" t="s">
        <v>692</v>
      </c>
      <c r="E26" s="441">
        <v>40000</v>
      </c>
      <c r="F26" s="434">
        <f t="shared" si="1"/>
        <v>40000</v>
      </c>
      <c r="G26" s="382">
        <f>Rolling_Stock_Amortisation</f>
        <v>8</v>
      </c>
      <c r="H26" s="434">
        <f t="shared" si="0"/>
        <v>5698.255553089567</v>
      </c>
      <c r="I26" t="s">
        <v>707</v>
      </c>
      <c r="J26" s="434"/>
    </row>
    <row r="27" spans="1:17" x14ac:dyDescent="0.35">
      <c r="A27" s="383" t="s">
        <v>490</v>
      </c>
      <c r="B27" s="442" t="s">
        <v>708</v>
      </c>
      <c r="C27" s="382">
        <v>1</v>
      </c>
      <c r="D27" s="383" t="s">
        <v>692</v>
      </c>
      <c r="E27" s="443">
        <f>M55</f>
        <v>20000</v>
      </c>
      <c r="F27" s="434">
        <f t="shared" si="1"/>
        <v>20000</v>
      </c>
      <c r="G27" s="382">
        <f>Equipment_Amortisation</f>
        <v>10</v>
      </c>
      <c r="H27" s="434">
        <f>PMT($C$14, G27, -F27)</f>
        <v>2344.610132103192</v>
      </c>
      <c r="J27" s="443"/>
    </row>
    <row r="28" spans="1:17" x14ac:dyDescent="0.35">
      <c r="A28" s="383" t="s">
        <v>490</v>
      </c>
      <c r="B28" t="s">
        <v>709</v>
      </c>
      <c r="C28" s="382">
        <v>1</v>
      </c>
      <c r="D28" s="383" t="s">
        <v>710</v>
      </c>
      <c r="E28" s="434">
        <v>10000</v>
      </c>
      <c r="F28" s="434">
        <f t="shared" si="1"/>
        <v>10000</v>
      </c>
      <c r="G28" s="382">
        <f>Equipment_Amortisation</f>
        <v>10</v>
      </c>
      <c r="H28" s="434">
        <f>PMT($C$14, G28, -F28)</f>
        <v>1172.305066051596</v>
      </c>
      <c r="J28" s="443"/>
    </row>
    <row r="29" spans="1:17" ht="15" thickBot="1" x14ac:dyDescent="0.4">
      <c r="E29" s="421" t="s">
        <v>711</v>
      </c>
      <c r="F29" s="444" t="e">
        <f>SUM(F19:F28)</f>
        <v>#N/A</v>
      </c>
      <c r="G29" s="421" t="s">
        <v>711</v>
      </c>
      <c r="H29" s="444" t="e">
        <f>SUM(H19:H28)</f>
        <v>#N/A</v>
      </c>
      <c r="J29" s="443"/>
    </row>
    <row r="30" spans="1:17" ht="18" thickTop="1" thickBot="1" x14ac:dyDescent="0.45">
      <c r="B30" s="391" t="s">
        <v>712</v>
      </c>
      <c r="C30" s="445"/>
      <c r="D30" s="446"/>
      <c r="E30" s="391"/>
      <c r="F30" s="391"/>
      <c r="G30" s="391"/>
      <c r="H30" s="391"/>
      <c r="J30" s="443"/>
      <c r="L30" s="854" t="s">
        <v>713</v>
      </c>
      <c r="M30" s="855"/>
      <c r="N30" s="447"/>
    </row>
    <row r="31" spans="1:17" ht="15" thickTop="1" x14ac:dyDescent="0.35">
      <c r="B31" s="448" t="s">
        <v>714</v>
      </c>
      <c r="E31" s="417"/>
      <c r="F31" s="434"/>
      <c r="G31" s="382"/>
      <c r="H31" s="434"/>
      <c r="J31" s="434"/>
      <c r="L31" s="449" t="s">
        <v>715</v>
      </c>
      <c r="M31" s="450">
        <f>M35/43560</f>
        <v>2.5</v>
      </c>
      <c r="N31" s="442" t="s">
        <v>716</v>
      </c>
    </row>
    <row r="32" spans="1:17" x14ac:dyDescent="0.35">
      <c r="A32" s="383" t="s">
        <v>490</v>
      </c>
      <c r="B32" s="451" t="s">
        <v>717</v>
      </c>
      <c r="C32" s="452" t="e">
        <f>ROUND(C34+C39+C40/43560,1)</f>
        <v>#N/A</v>
      </c>
      <c r="D32" s="383" t="s">
        <v>718</v>
      </c>
      <c r="E32" s="434">
        <v>1500</v>
      </c>
      <c r="F32" s="434" t="e">
        <f t="shared" ref="F32:F42" si="2">IF(A32="x",C32*E32,0)</f>
        <v>#N/A</v>
      </c>
      <c r="G32" s="382">
        <f t="shared" ref="G32:G43" si="3">Building_Cost_Amortisation</f>
        <v>20</v>
      </c>
      <c r="H32" s="434" t="e">
        <f>PMT($C$14, G32, -F32)</f>
        <v>#N/A</v>
      </c>
      <c r="J32" s="434"/>
      <c r="L32" s="449" t="s">
        <v>719</v>
      </c>
      <c r="M32" s="442">
        <f>M36/43560</f>
        <v>12.243648607284971</v>
      </c>
      <c r="N32" s="442" t="s">
        <v>716</v>
      </c>
      <c r="O32" t="s">
        <v>720</v>
      </c>
    </row>
    <row r="33" spans="1:15" x14ac:dyDescent="0.35">
      <c r="A33" s="383" t="s">
        <v>490</v>
      </c>
      <c r="B33" s="451" t="s">
        <v>721</v>
      </c>
      <c r="C33" s="452" t="e">
        <f>Site_Area</f>
        <v>#N/A</v>
      </c>
      <c r="D33" s="383" t="s">
        <v>718</v>
      </c>
      <c r="E33" s="434">
        <v>2500</v>
      </c>
      <c r="F33" s="434" t="e">
        <f t="shared" si="2"/>
        <v>#N/A</v>
      </c>
      <c r="G33" s="382">
        <f t="shared" si="3"/>
        <v>20</v>
      </c>
      <c r="H33" s="434" t="e">
        <f t="shared" ref="H33:H40" si="4">PMT($C$14, G33, -F33)</f>
        <v>#N/A</v>
      </c>
      <c r="J33" s="434"/>
      <c r="L33" s="449" t="s">
        <v>722</v>
      </c>
      <c r="M33" s="442">
        <f>132314/4.5</f>
        <v>29403.111111111109</v>
      </c>
      <c r="N33" s="442" t="s">
        <v>723</v>
      </c>
      <c r="O33" t="s">
        <v>724</v>
      </c>
    </row>
    <row r="34" spans="1:15" x14ac:dyDescent="0.35">
      <c r="A34" s="383" t="s">
        <v>490</v>
      </c>
      <c r="B34" t="s">
        <v>725</v>
      </c>
      <c r="C34" s="452" t="e">
        <f>C35+C37</f>
        <v>#N/A</v>
      </c>
      <c r="D34" s="383" t="s">
        <v>718</v>
      </c>
      <c r="E34" s="434">
        <f>2*43560</f>
        <v>87120</v>
      </c>
      <c r="F34" s="434" t="e">
        <f>IF(A34="x",C34*E34,0)</f>
        <v>#N/A</v>
      </c>
      <c r="G34" s="382">
        <f t="shared" si="3"/>
        <v>20</v>
      </c>
      <c r="H34" s="434" t="e">
        <f t="shared" si="4"/>
        <v>#N/A</v>
      </c>
      <c r="I34" t="e">
        <f>1.5*#REF!</f>
        <v>#REF!</v>
      </c>
      <c r="L34" s="449" t="s">
        <v>722</v>
      </c>
      <c r="M34" s="442">
        <f>588060/16.5</f>
        <v>35640</v>
      </c>
      <c r="N34" s="442" t="s">
        <v>723</v>
      </c>
      <c r="O34" t="s">
        <v>726</v>
      </c>
    </row>
    <row r="35" spans="1:15" x14ac:dyDescent="0.35">
      <c r="B35" t="s">
        <v>727</v>
      </c>
      <c r="C35" s="452" t="e">
        <f>H10</f>
        <v>#N/A</v>
      </c>
      <c r="D35" s="383" t="s">
        <v>718</v>
      </c>
      <c r="E35" s="434">
        <v>533333</v>
      </c>
      <c r="F35" s="434">
        <f t="shared" si="2"/>
        <v>0</v>
      </c>
      <c r="G35" s="382">
        <f t="shared" si="3"/>
        <v>20</v>
      </c>
      <c r="H35" s="434">
        <f t="shared" si="4"/>
        <v>0</v>
      </c>
      <c r="L35" s="449" t="s">
        <v>715</v>
      </c>
      <c r="M35" s="442">
        <f>490050/4.5</f>
        <v>108900</v>
      </c>
      <c r="N35" s="442" t="s">
        <v>723</v>
      </c>
      <c r="O35" t="s">
        <v>728</v>
      </c>
    </row>
    <row r="36" spans="1:15" x14ac:dyDescent="0.35">
      <c r="A36" s="383" t="s">
        <v>490</v>
      </c>
      <c r="B36" t="s">
        <v>729</v>
      </c>
      <c r="C36" s="452" t="e">
        <f>C35</f>
        <v>#N/A</v>
      </c>
      <c r="D36" s="383" t="s">
        <v>718</v>
      </c>
      <c r="E36" s="434">
        <v>108900</v>
      </c>
      <c r="F36" s="434" t="e">
        <f>IF(A36="x",C36*E36,0)</f>
        <v>#N/A</v>
      </c>
      <c r="G36" s="382">
        <f t="shared" si="3"/>
        <v>20</v>
      </c>
      <c r="H36" s="434" t="e">
        <f t="shared" si="4"/>
        <v>#N/A</v>
      </c>
      <c r="L36" s="449" t="s">
        <v>719</v>
      </c>
      <c r="M36" s="442">
        <f>2400000/4.5</f>
        <v>533333.33333333337</v>
      </c>
      <c r="N36" s="442" t="s">
        <v>723</v>
      </c>
      <c r="O36" s="442" t="s">
        <v>730</v>
      </c>
    </row>
    <row r="37" spans="1:15" x14ac:dyDescent="0.35">
      <c r="B37" t="s">
        <v>731</v>
      </c>
      <c r="C37" s="452" t="e">
        <f>C35</f>
        <v>#N/A</v>
      </c>
      <c r="D37" s="383" t="s">
        <v>718</v>
      </c>
      <c r="E37" s="434">
        <v>533334</v>
      </c>
      <c r="F37" s="434">
        <f t="shared" si="2"/>
        <v>0</v>
      </c>
      <c r="G37" s="382">
        <f t="shared" si="3"/>
        <v>20</v>
      </c>
      <c r="H37" s="434">
        <f t="shared" si="4"/>
        <v>0</v>
      </c>
      <c r="I37" s="410">
        <f>C40/43000</f>
        <v>0.58139534883720934</v>
      </c>
      <c r="L37" s="442" t="s">
        <v>732</v>
      </c>
      <c r="M37" s="442">
        <v>450</v>
      </c>
      <c r="N37" s="442" t="s">
        <v>733</v>
      </c>
    </row>
    <row r="38" spans="1:15" x14ac:dyDescent="0.35">
      <c r="A38" s="383" t="s">
        <v>490</v>
      </c>
      <c r="B38" t="s">
        <v>734</v>
      </c>
      <c r="C38" s="452" t="e">
        <f>C37</f>
        <v>#N/A</v>
      </c>
      <c r="D38" s="383" t="s">
        <v>718</v>
      </c>
      <c r="E38" s="434">
        <v>108900</v>
      </c>
      <c r="F38" s="434" t="e">
        <f t="shared" si="2"/>
        <v>#N/A</v>
      </c>
      <c r="G38" s="382">
        <f t="shared" si="3"/>
        <v>20</v>
      </c>
      <c r="H38" s="434" t="e">
        <f t="shared" si="4"/>
        <v>#N/A</v>
      </c>
      <c r="L38" s="453" t="s">
        <v>735</v>
      </c>
      <c r="M38" s="442">
        <v>1500</v>
      </c>
      <c r="N38" s="442" t="s">
        <v>723</v>
      </c>
    </row>
    <row r="39" spans="1:15" x14ac:dyDescent="0.35">
      <c r="A39" s="383" t="s">
        <v>490</v>
      </c>
      <c r="B39" t="s">
        <v>736</v>
      </c>
      <c r="C39" s="452" t="e">
        <f>C37</f>
        <v>#N/A</v>
      </c>
      <c r="D39" s="383" t="s">
        <v>718</v>
      </c>
      <c r="E39" s="417">
        <v>35640</v>
      </c>
      <c r="F39" s="434" t="e">
        <f t="shared" si="2"/>
        <v>#N/A</v>
      </c>
      <c r="G39" s="382">
        <f t="shared" si="3"/>
        <v>20</v>
      </c>
      <c r="H39" s="434" t="e">
        <f t="shared" si="4"/>
        <v>#N/A</v>
      </c>
      <c r="I39" s="410">
        <f>C42/43000</f>
        <v>0.11627906976744186</v>
      </c>
      <c r="L39" s="453" t="s">
        <v>737</v>
      </c>
      <c r="M39" s="454">
        <v>2500</v>
      </c>
      <c r="N39" s="454" t="s">
        <v>723</v>
      </c>
    </row>
    <row r="40" spans="1:15" x14ac:dyDescent="0.35">
      <c r="A40" s="383" t="s">
        <v>490</v>
      </c>
      <c r="B40" t="s">
        <v>738</v>
      </c>
      <c r="C40" s="455">
        <f>C41+C42</f>
        <v>25000</v>
      </c>
      <c r="D40" s="383" t="s">
        <v>647</v>
      </c>
      <c r="E40" s="456">
        <f>29403/43560</f>
        <v>0.67500000000000004</v>
      </c>
      <c r="F40" s="434">
        <f t="shared" si="2"/>
        <v>16875</v>
      </c>
      <c r="G40" s="382">
        <f t="shared" si="3"/>
        <v>20</v>
      </c>
      <c r="H40" s="434">
        <f t="shared" si="4"/>
        <v>1134.2650656969979</v>
      </c>
      <c r="I40" s="410"/>
      <c r="L40" s="453" t="s">
        <v>739</v>
      </c>
      <c r="M40" s="454">
        <f>43560*1.2</f>
        <v>52272</v>
      </c>
      <c r="N40" s="454" t="s">
        <v>723</v>
      </c>
      <c r="O40" t="s">
        <v>740</v>
      </c>
    </row>
    <row r="41" spans="1:15" x14ac:dyDescent="0.35">
      <c r="A41" s="383" t="s">
        <v>490</v>
      </c>
      <c r="B41" t="s">
        <v>741</v>
      </c>
      <c r="C41" s="457">
        <v>20000</v>
      </c>
      <c r="D41" s="383" t="s">
        <v>647</v>
      </c>
      <c r="E41" s="456">
        <f>108900/43560</f>
        <v>2.5</v>
      </c>
      <c r="F41" s="434">
        <f t="shared" si="2"/>
        <v>50000</v>
      </c>
      <c r="G41" s="382">
        <f t="shared" si="3"/>
        <v>20</v>
      </c>
      <c r="H41" s="434">
        <f>PMT($C$14, G41, -F41)</f>
        <v>3360.785379842956</v>
      </c>
      <c r="I41" s="410"/>
      <c r="L41" s="453" t="s">
        <v>742</v>
      </c>
      <c r="M41" s="454">
        <f>135111*43560/74408</f>
        <v>79096.806257391683</v>
      </c>
      <c r="N41" s="454" t="s">
        <v>723</v>
      </c>
    </row>
    <row r="42" spans="1:15" x14ac:dyDescent="0.35">
      <c r="A42" s="383" t="s">
        <v>490</v>
      </c>
      <c r="B42" t="s">
        <v>743</v>
      </c>
      <c r="C42" s="458">
        <f>100*50</f>
        <v>5000</v>
      </c>
      <c r="D42" s="383" t="s">
        <v>647</v>
      </c>
      <c r="E42" s="459">
        <v>40</v>
      </c>
      <c r="F42" s="434">
        <f t="shared" si="2"/>
        <v>200000</v>
      </c>
      <c r="G42" s="382">
        <f t="shared" si="3"/>
        <v>20</v>
      </c>
      <c r="H42" s="434">
        <f>PMT($C$14, G42, -F42)</f>
        <v>13443.141519371824</v>
      </c>
      <c r="I42" s="410"/>
      <c r="L42" s="453" t="s">
        <v>744</v>
      </c>
      <c r="M42" s="454">
        <v>25000</v>
      </c>
      <c r="N42" s="454" t="s">
        <v>745</v>
      </c>
    </row>
    <row r="43" spans="1:15" x14ac:dyDescent="0.35">
      <c r="A43" s="383" t="s">
        <v>490</v>
      </c>
      <c r="B43" t="s">
        <v>746</v>
      </c>
      <c r="C43" s="438">
        <v>1</v>
      </c>
      <c r="D43" s="383" t="s">
        <v>710</v>
      </c>
      <c r="E43" s="460">
        <v>40000</v>
      </c>
      <c r="F43" s="434">
        <f>IF(A43="x",C43*E43,0)</f>
        <v>40000</v>
      </c>
      <c r="G43" s="382">
        <f t="shared" si="3"/>
        <v>20</v>
      </c>
      <c r="H43" s="434">
        <f>PMT($C$14, G43, -F43)</f>
        <v>2688.628303874365</v>
      </c>
      <c r="I43" s="410"/>
      <c r="L43" s="454" t="s">
        <v>747</v>
      </c>
      <c r="M43" s="454">
        <v>15</v>
      </c>
      <c r="N43" s="454" t="s">
        <v>748</v>
      </c>
    </row>
    <row r="44" spans="1:15" x14ac:dyDescent="0.35">
      <c r="C44" s="455"/>
      <c r="E44" s="459"/>
      <c r="F44" s="434"/>
      <c r="G44" s="382"/>
      <c r="H44" s="434"/>
      <c r="I44" s="410"/>
      <c r="L44" s="454" t="s">
        <v>749</v>
      </c>
      <c r="M44" s="454">
        <v>25</v>
      </c>
      <c r="N44" s="454" t="s">
        <v>748</v>
      </c>
    </row>
    <row r="45" spans="1:15" x14ac:dyDescent="0.35">
      <c r="B45" s="448" t="s">
        <v>750</v>
      </c>
      <c r="C45" s="455"/>
      <c r="E45" s="459"/>
      <c r="F45" s="434"/>
      <c r="G45" s="382"/>
      <c r="H45" s="434"/>
      <c r="I45" s="410"/>
      <c r="L45" s="454"/>
      <c r="M45" s="454"/>
      <c r="N45" s="454"/>
    </row>
    <row r="46" spans="1:15" x14ac:dyDescent="0.35">
      <c r="A46" s="383" t="s">
        <v>490</v>
      </c>
      <c r="B46" t="s">
        <v>751</v>
      </c>
      <c r="C46" s="461" t="e">
        <f>C32/4</f>
        <v>#N/A</v>
      </c>
      <c r="D46" s="383" t="s">
        <v>718</v>
      </c>
      <c r="E46" s="462">
        <f>43560*1.2</f>
        <v>52272</v>
      </c>
      <c r="F46" s="434" t="e">
        <f t="shared" ref="F46:F48" si="5">IF(A46="x",C46*E46,0)</f>
        <v>#N/A</v>
      </c>
      <c r="G46" s="382">
        <f>Building_Cost_Amortisation</f>
        <v>20</v>
      </c>
      <c r="H46" s="434" t="e">
        <f>PMT($C$14, G46, -F46)</f>
        <v>#N/A</v>
      </c>
      <c r="L46" s="854" t="s">
        <v>752</v>
      </c>
      <c r="M46" s="855"/>
      <c r="N46" s="463"/>
      <c r="O46" t="s">
        <v>753</v>
      </c>
    </row>
    <row r="47" spans="1:15" x14ac:dyDescent="0.35">
      <c r="A47" s="383" t="s">
        <v>490</v>
      </c>
      <c r="B47" t="s">
        <v>754</v>
      </c>
      <c r="C47" s="461" t="e">
        <f>C46</f>
        <v>#N/A</v>
      </c>
      <c r="D47" s="383" t="s">
        <v>718</v>
      </c>
      <c r="E47" s="462">
        <f>135111*43560/74408</f>
        <v>79096.806257391683</v>
      </c>
      <c r="F47" s="434" t="e">
        <f t="shared" si="5"/>
        <v>#N/A</v>
      </c>
      <c r="G47" s="382">
        <f>Building_Cost_Amortisation</f>
        <v>20</v>
      </c>
      <c r="H47" s="434" t="e">
        <f>PMT($C$14, G47, -F47)</f>
        <v>#N/A</v>
      </c>
      <c r="L47" s="454" t="s">
        <v>755</v>
      </c>
      <c r="M47" s="454">
        <v>60000</v>
      </c>
      <c r="N47" s="454" t="s">
        <v>692</v>
      </c>
      <c r="O47" t="s">
        <v>756</v>
      </c>
    </row>
    <row r="48" spans="1:15" x14ac:dyDescent="0.35">
      <c r="A48" s="383" t="s">
        <v>490</v>
      </c>
      <c r="B48" t="s">
        <v>744</v>
      </c>
      <c r="C48" s="455">
        <v>1</v>
      </c>
      <c r="D48" s="383" t="s">
        <v>710</v>
      </c>
      <c r="E48" s="459">
        <v>25000</v>
      </c>
      <c r="F48" s="434">
        <f t="shared" si="5"/>
        <v>25000</v>
      </c>
      <c r="G48" s="382">
        <f>Building_Cost_Amortisation</f>
        <v>20</v>
      </c>
      <c r="H48" s="434">
        <f>PMT($C$14, G48, -F48)</f>
        <v>1680.392689921478</v>
      </c>
      <c r="I48" s="410">
        <f>C51/43000</f>
        <v>8.7209302325581398E-2</v>
      </c>
      <c r="L48" s="453" t="s">
        <v>757</v>
      </c>
      <c r="M48" s="454">
        <v>150</v>
      </c>
      <c r="N48" s="454" t="s">
        <v>692</v>
      </c>
      <c r="O48" t="s">
        <v>758</v>
      </c>
    </row>
    <row r="49" spans="1:15" x14ac:dyDescent="0.35">
      <c r="E49" s="417"/>
      <c r="F49" s="434"/>
      <c r="G49" s="382"/>
      <c r="H49" s="434"/>
      <c r="L49" s="454" t="s">
        <v>759</v>
      </c>
      <c r="M49" s="454">
        <v>30000</v>
      </c>
      <c r="N49" s="454" t="s">
        <v>710</v>
      </c>
      <c r="O49" t="s">
        <v>758</v>
      </c>
    </row>
    <row r="50" spans="1:15" x14ac:dyDescent="0.35">
      <c r="B50" s="448" t="s">
        <v>760</v>
      </c>
      <c r="E50" s="417"/>
      <c r="F50" s="434"/>
      <c r="G50" s="382"/>
      <c r="H50" s="434"/>
      <c r="I50" s="410">
        <f>C53/43000</f>
        <v>1.3953488372093023E-2</v>
      </c>
      <c r="L50" s="454" t="s">
        <v>761</v>
      </c>
      <c r="M50" s="454">
        <v>10000</v>
      </c>
      <c r="N50" s="454" t="s">
        <v>710</v>
      </c>
      <c r="O50" t="s">
        <v>758</v>
      </c>
    </row>
    <row r="51" spans="1:15" x14ac:dyDescent="0.35">
      <c r="A51" s="383" t="s">
        <v>490</v>
      </c>
      <c r="B51" t="s">
        <v>762</v>
      </c>
      <c r="C51" s="458">
        <f>50*75</f>
        <v>3750</v>
      </c>
      <c r="D51" s="383" t="s">
        <v>647</v>
      </c>
      <c r="E51" s="459">
        <v>125</v>
      </c>
      <c r="F51" s="434">
        <f t="shared" ref="F51:F53" si="6">IF(A51="x",C51*E51,0)</f>
        <v>468750</v>
      </c>
      <c r="G51" s="382">
        <f>Building_Cost_Amortisation</f>
        <v>20</v>
      </c>
      <c r="H51" s="434">
        <f>PMT($C$14, G51, -F51)</f>
        <v>31507.362936027715</v>
      </c>
      <c r="L51" s="454" t="s">
        <v>763</v>
      </c>
      <c r="M51" s="454">
        <v>2500</v>
      </c>
      <c r="N51" s="454" t="s">
        <v>710</v>
      </c>
      <c r="O51" t="s">
        <v>764</v>
      </c>
    </row>
    <row r="52" spans="1:15" x14ac:dyDescent="0.35">
      <c r="A52" s="383" t="s">
        <v>490</v>
      </c>
      <c r="B52" t="s">
        <v>765</v>
      </c>
      <c r="C52" s="438">
        <v>1</v>
      </c>
      <c r="D52" s="383" t="s">
        <v>710</v>
      </c>
      <c r="E52" s="460">
        <v>30000</v>
      </c>
      <c r="F52" s="434">
        <f t="shared" si="6"/>
        <v>30000</v>
      </c>
      <c r="G52" s="382">
        <f>Building_Cost_Amortisation</f>
        <v>20</v>
      </c>
      <c r="H52" s="434">
        <f>PMT($C$14, G52, -F52)</f>
        <v>2016.4712279057737</v>
      </c>
      <c r="L52" s="454" t="s">
        <v>766</v>
      </c>
      <c r="M52" s="454">
        <v>5000</v>
      </c>
      <c r="N52" s="454" t="s">
        <v>692</v>
      </c>
      <c r="O52" t="s">
        <v>764</v>
      </c>
    </row>
    <row r="53" spans="1:15" x14ac:dyDescent="0.35">
      <c r="A53" s="383" t="s">
        <v>490</v>
      </c>
      <c r="B53" t="s">
        <v>767</v>
      </c>
      <c r="C53" s="455">
        <v>600</v>
      </c>
      <c r="D53" s="464" t="s">
        <v>647</v>
      </c>
      <c r="E53" s="459">
        <v>50</v>
      </c>
      <c r="F53" s="434">
        <f t="shared" si="6"/>
        <v>30000</v>
      </c>
      <c r="G53" s="382">
        <f>Building_Cost_Amortisation</f>
        <v>20</v>
      </c>
      <c r="H53" s="434">
        <f>PMT($C$14, G53, -F53)</f>
        <v>2016.4712279057737</v>
      </c>
      <c r="L53" s="454" t="s">
        <v>768</v>
      </c>
      <c r="M53" s="454">
        <v>300</v>
      </c>
      <c r="N53" s="454" t="s">
        <v>692</v>
      </c>
      <c r="O53" t="s">
        <v>769</v>
      </c>
    </row>
    <row r="54" spans="1:15" x14ac:dyDescent="0.35">
      <c r="L54" s="454" t="s">
        <v>770</v>
      </c>
      <c r="M54" s="454">
        <v>4000</v>
      </c>
      <c r="N54" s="454" t="s">
        <v>692</v>
      </c>
      <c r="O54" t="s">
        <v>758</v>
      </c>
    </row>
    <row r="55" spans="1:15" x14ac:dyDescent="0.35">
      <c r="B55" s="448" t="s">
        <v>771</v>
      </c>
      <c r="L55" s="442" t="s">
        <v>708</v>
      </c>
      <c r="M55" s="442">
        <v>20000</v>
      </c>
      <c r="N55" s="442" t="s">
        <v>710</v>
      </c>
    </row>
    <row r="56" spans="1:15" x14ac:dyDescent="0.35">
      <c r="A56" s="383" t="s">
        <v>490</v>
      </c>
      <c r="B56" t="s">
        <v>772</v>
      </c>
      <c r="C56" s="438">
        <v>1</v>
      </c>
      <c r="D56" s="383" t="s">
        <v>710</v>
      </c>
      <c r="E56" s="465">
        <v>40000</v>
      </c>
      <c r="F56" s="434">
        <f>IF(A51="x",C56*E56,0)</f>
        <v>40000</v>
      </c>
      <c r="G56" s="382">
        <f>Building_Cost_Amortisation</f>
        <v>20</v>
      </c>
      <c r="H56" s="434">
        <f>PMT($C$14, G56, -F56)</f>
        <v>2688.628303874365</v>
      </c>
      <c r="L56" s="454"/>
      <c r="M56" s="454"/>
      <c r="N56" s="454"/>
    </row>
    <row r="57" spans="1:15" x14ac:dyDescent="0.35">
      <c r="A57" s="383" t="s">
        <v>490</v>
      </c>
      <c r="B57" t="s">
        <v>773</v>
      </c>
      <c r="C57" s="438"/>
      <c r="D57" s="383" t="s">
        <v>774</v>
      </c>
      <c r="E57" s="466">
        <v>15</v>
      </c>
      <c r="F57" s="434">
        <f t="shared" ref="F57:F60" si="7">IF(A57="x",C57*E57,0)</f>
        <v>0</v>
      </c>
      <c r="G57" s="382">
        <f>Building_Cost_Amortisation</f>
        <v>20</v>
      </c>
      <c r="H57" s="434"/>
      <c r="L57" s="854" t="s">
        <v>775</v>
      </c>
      <c r="M57" s="855"/>
      <c r="N57" s="454"/>
      <c r="O57" t="s">
        <v>764</v>
      </c>
    </row>
    <row r="58" spans="1:15" x14ac:dyDescent="0.35">
      <c r="A58" s="383" t="s">
        <v>490</v>
      </c>
      <c r="B58" t="s">
        <v>324</v>
      </c>
      <c r="C58" s="438">
        <v>1</v>
      </c>
      <c r="D58" s="383" t="s">
        <v>710</v>
      </c>
      <c r="E58" s="465">
        <v>100000</v>
      </c>
      <c r="F58" s="434">
        <f t="shared" si="7"/>
        <v>100000</v>
      </c>
      <c r="G58" s="382">
        <f>Equipment_Amortisation</f>
        <v>10</v>
      </c>
      <c r="H58" s="434">
        <f>PMT($C$14, G58, -F58)</f>
        <v>11723.050660515959</v>
      </c>
      <c r="L58" s="454" t="s">
        <v>776</v>
      </c>
      <c r="M58" s="454">
        <f>75000/5</f>
        <v>15000</v>
      </c>
      <c r="N58" s="454" t="s">
        <v>745</v>
      </c>
      <c r="O58" t="s">
        <v>777</v>
      </c>
    </row>
    <row r="59" spans="1:15" x14ac:dyDescent="0.35">
      <c r="A59" s="383" t="s">
        <v>490</v>
      </c>
      <c r="B59" t="s">
        <v>778</v>
      </c>
      <c r="C59" s="457" t="e">
        <f>(C32*43560)^(1/2)*4*1.5</f>
        <v>#N/A</v>
      </c>
      <c r="D59" s="383" t="s">
        <v>774</v>
      </c>
      <c r="E59" s="459">
        <v>12</v>
      </c>
      <c r="F59" s="434" t="e">
        <f t="shared" si="7"/>
        <v>#N/A</v>
      </c>
      <c r="G59" s="382">
        <f>Equipment_Amortisation</f>
        <v>10</v>
      </c>
      <c r="H59" s="434" t="e">
        <f>PMT($C$14, G59, -F59)</f>
        <v>#N/A</v>
      </c>
      <c r="L59" s="454" t="s">
        <v>779</v>
      </c>
      <c r="M59" s="454">
        <f>250000/5</f>
        <v>50000</v>
      </c>
      <c r="N59" s="454" t="s">
        <v>745</v>
      </c>
      <c r="O59" s="467" t="s">
        <v>780</v>
      </c>
    </row>
    <row r="60" spans="1:15" x14ac:dyDescent="0.35">
      <c r="A60" s="383" t="s">
        <v>490</v>
      </c>
      <c r="B60" t="s">
        <v>781</v>
      </c>
      <c r="C60" s="438">
        <v>1</v>
      </c>
      <c r="D60" s="383" t="s">
        <v>710</v>
      </c>
      <c r="E60" s="460">
        <v>5000</v>
      </c>
      <c r="F60" s="434">
        <f t="shared" si="7"/>
        <v>5000</v>
      </c>
      <c r="G60" s="382">
        <f>Equipment_Amortisation</f>
        <v>10</v>
      </c>
      <c r="H60" s="434">
        <f>PMT($C$14, G60, -F60)</f>
        <v>586.15253302579799</v>
      </c>
      <c r="L60" s="467" t="s">
        <v>782</v>
      </c>
      <c r="M60" s="467">
        <v>25000</v>
      </c>
      <c r="N60" s="467" t="s">
        <v>745</v>
      </c>
    </row>
    <row r="61" spans="1:15" x14ac:dyDescent="0.35">
      <c r="C61" s="438"/>
      <c r="E61" s="460"/>
      <c r="F61" s="434"/>
      <c r="G61" s="382"/>
      <c r="H61" s="434"/>
      <c r="L61" s="442"/>
      <c r="M61" s="442"/>
      <c r="N61" s="442"/>
    </row>
    <row r="62" spans="1:15" x14ac:dyDescent="0.35">
      <c r="B62" s="448" t="s">
        <v>783</v>
      </c>
      <c r="C62" s="438"/>
      <c r="E62" s="460"/>
      <c r="F62" s="434"/>
      <c r="G62" s="382"/>
      <c r="H62" s="434"/>
      <c r="L62" s="854" t="s">
        <v>784</v>
      </c>
      <c r="M62" s="855"/>
      <c r="N62" s="442"/>
      <c r="O62" t="s">
        <v>785</v>
      </c>
    </row>
    <row r="63" spans="1:15" x14ac:dyDescent="0.35">
      <c r="A63" s="383" t="s">
        <v>490</v>
      </c>
      <c r="B63" s="454" t="s">
        <v>757</v>
      </c>
      <c r="C63" s="438" t="e">
        <f>H11</f>
        <v>#N/A</v>
      </c>
      <c r="D63" s="468" t="s">
        <v>786</v>
      </c>
      <c r="E63" s="460">
        <v>150</v>
      </c>
      <c r="F63" s="434" t="e">
        <f t="shared" ref="F63:F70" si="8">IF(A63="x",C63*E63,0)</f>
        <v>#N/A</v>
      </c>
      <c r="G63" s="382">
        <f t="shared" ref="G63:G70" si="9">Equipment_Amortisation</f>
        <v>10</v>
      </c>
      <c r="H63" s="434" t="e">
        <f>PMT($C$14, G63, -F63)</f>
        <v>#N/A</v>
      </c>
      <c r="L63" s="580" t="s">
        <v>787</v>
      </c>
      <c r="M63" s="469">
        <v>0.15</v>
      </c>
      <c r="N63" s="442"/>
      <c r="O63" t="s">
        <v>785</v>
      </c>
    </row>
    <row r="64" spans="1:15" x14ac:dyDescent="0.35">
      <c r="A64" s="383" t="s">
        <v>490</v>
      </c>
      <c r="B64" s="454" t="s">
        <v>759</v>
      </c>
      <c r="C64" s="438">
        <v>1</v>
      </c>
      <c r="D64" s="468" t="s">
        <v>710</v>
      </c>
      <c r="E64" s="462">
        <v>30000</v>
      </c>
      <c r="F64" s="434">
        <f t="shared" si="8"/>
        <v>30000</v>
      </c>
      <c r="G64" s="382">
        <f t="shared" si="9"/>
        <v>10</v>
      </c>
      <c r="H64" s="434">
        <f t="shared" ref="H64:H70" si="10">PMT($C$14, G64, -F64)</f>
        <v>3516.9151981547875</v>
      </c>
      <c r="L64" s="581" t="s">
        <v>788</v>
      </c>
      <c r="M64" s="469">
        <v>0.1</v>
      </c>
      <c r="O64" t="s">
        <v>785</v>
      </c>
    </row>
    <row r="65" spans="1:16" x14ac:dyDescent="0.35">
      <c r="A65" s="383" t="s">
        <v>490</v>
      </c>
      <c r="B65" s="454" t="s">
        <v>761</v>
      </c>
      <c r="C65" s="438">
        <v>1</v>
      </c>
      <c r="D65" s="468" t="s">
        <v>710</v>
      </c>
      <c r="E65" s="462">
        <v>10000</v>
      </c>
      <c r="F65" s="434">
        <f t="shared" si="8"/>
        <v>10000</v>
      </c>
      <c r="G65" s="382">
        <f t="shared" si="9"/>
        <v>10</v>
      </c>
      <c r="H65" s="434">
        <f t="shared" si="10"/>
        <v>1172.305066051596</v>
      </c>
      <c r="L65" s="581" t="s">
        <v>789</v>
      </c>
      <c r="M65" s="469">
        <v>0.1</v>
      </c>
      <c r="N65" s="442"/>
    </row>
    <row r="66" spans="1:16" x14ac:dyDescent="0.35">
      <c r="A66" s="383" t="s">
        <v>490</v>
      </c>
      <c r="B66" s="454" t="s">
        <v>763</v>
      </c>
      <c r="C66" s="438">
        <v>1</v>
      </c>
      <c r="D66" s="468" t="s">
        <v>710</v>
      </c>
      <c r="E66" s="462">
        <v>2500</v>
      </c>
      <c r="F66" s="434">
        <f t="shared" si="8"/>
        <v>2500</v>
      </c>
      <c r="G66" s="382">
        <f t="shared" si="9"/>
        <v>10</v>
      </c>
      <c r="H66" s="434">
        <f t="shared" si="10"/>
        <v>293.076266512899</v>
      </c>
    </row>
    <row r="67" spans="1:16" x14ac:dyDescent="0.35">
      <c r="A67" s="383" t="s">
        <v>490</v>
      </c>
      <c r="B67" s="454" t="s">
        <v>766</v>
      </c>
      <c r="C67" s="438" t="e">
        <f>Pads</f>
        <v>#N/A</v>
      </c>
      <c r="D67" s="468" t="s">
        <v>786</v>
      </c>
      <c r="E67" s="462">
        <v>5000</v>
      </c>
      <c r="F67" s="434" t="e">
        <f>IF(A67="x",C67*E67,0)</f>
        <v>#N/A</v>
      </c>
      <c r="G67" s="382">
        <f t="shared" si="9"/>
        <v>10</v>
      </c>
      <c r="H67" s="434" t="e">
        <f t="shared" si="10"/>
        <v>#N/A</v>
      </c>
    </row>
    <row r="68" spans="1:16" x14ac:dyDescent="0.35">
      <c r="A68" s="383" t="s">
        <v>490</v>
      </c>
      <c r="B68" s="454" t="s">
        <v>768</v>
      </c>
      <c r="C68" s="438" t="e">
        <f>Pads</f>
        <v>#N/A</v>
      </c>
      <c r="D68" s="468" t="s">
        <v>786</v>
      </c>
      <c r="E68" s="462">
        <v>300</v>
      </c>
      <c r="F68" s="434" t="e">
        <f t="shared" si="8"/>
        <v>#N/A</v>
      </c>
      <c r="G68" s="382">
        <f t="shared" si="9"/>
        <v>10</v>
      </c>
      <c r="H68" s="434" t="e">
        <f t="shared" si="10"/>
        <v>#N/A</v>
      </c>
      <c r="M68" t="s">
        <v>959</v>
      </c>
      <c r="N68" s="383" t="s">
        <v>35</v>
      </c>
      <c r="O68" t="s">
        <v>851</v>
      </c>
    </row>
    <row r="69" spans="1:16" x14ac:dyDescent="0.35">
      <c r="A69" s="383" t="s">
        <v>490</v>
      </c>
      <c r="B69" s="454" t="s">
        <v>770</v>
      </c>
      <c r="C69" s="438" t="e">
        <f>Pads</f>
        <v>#N/A</v>
      </c>
      <c r="D69" s="468" t="s">
        <v>790</v>
      </c>
      <c r="E69" s="462">
        <v>4000</v>
      </c>
      <c r="F69" s="434" t="e">
        <f t="shared" si="8"/>
        <v>#N/A</v>
      </c>
      <c r="G69" s="382">
        <f t="shared" si="9"/>
        <v>10</v>
      </c>
      <c r="H69" s="434" t="e">
        <f t="shared" si="10"/>
        <v>#N/A</v>
      </c>
      <c r="L69" s="573" t="s">
        <v>978</v>
      </c>
      <c r="M69" s="573">
        <v>500</v>
      </c>
      <c r="N69" s="573"/>
      <c r="O69" s="573">
        <v>750</v>
      </c>
      <c r="P69" s="573" t="s">
        <v>960</v>
      </c>
    </row>
    <row r="70" spans="1:16" x14ac:dyDescent="0.35">
      <c r="A70" s="383" t="s">
        <v>490</v>
      </c>
      <c r="B70" s="454" t="s">
        <v>732</v>
      </c>
      <c r="C70" s="438" t="e">
        <f>40*Pads</f>
        <v>#N/A</v>
      </c>
      <c r="D70" s="383" t="s">
        <v>790</v>
      </c>
      <c r="E70" s="460">
        <v>450</v>
      </c>
      <c r="F70" s="434" t="e">
        <f t="shared" si="8"/>
        <v>#N/A</v>
      </c>
      <c r="G70" s="382">
        <f t="shared" si="9"/>
        <v>10</v>
      </c>
      <c r="H70" s="434" t="e">
        <f t="shared" si="10"/>
        <v>#N/A</v>
      </c>
      <c r="L70" t="s">
        <v>979</v>
      </c>
      <c r="M70">
        <v>1</v>
      </c>
      <c r="O70">
        <v>3</v>
      </c>
      <c r="P70" t="s">
        <v>961</v>
      </c>
    </row>
    <row r="71" spans="1:16" x14ac:dyDescent="0.35">
      <c r="C71" s="438"/>
      <c r="E71" s="460"/>
      <c r="F71" s="434"/>
      <c r="G71" s="382"/>
      <c r="H71" s="434"/>
      <c r="L71" s="574" t="s">
        <v>980</v>
      </c>
      <c r="M71" s="586" t="e">
        <f>(J7+C111+(C112*2000/I6)+C113)/M69</f>
        <v>#N/A</v>
      </c>
      <c r="N71" s="574"/>
      <c r="O71" s="575" t="e">
        <f>(J7+C111+(C112*2000/I6)+C113)/O69</f>
        <v>#N/A</v>
      </c>
      <c r="P71" s="574" t="s">
        <v>977</v>
      </c>
    </row>
    <row r="72" spans="1:16" x14ac:dyDescent="0.35">
      <c r="B72" s="470" t="s">
        <v>791</v>
      </c>
      <c r="C72" s="438"/>
      <c r="E72" s="460"/>
      <c r="F72" s="434"/>
      <c r="G72" s="382"/>
      <c r="H72" s="434"/>
      <c r="L72" s="573" t="s">
        <v>965</v>
      </c>
      <c r="M72" s="573">
        <v>10</v>
      </c>
      <c r="N72" s="576">
        <f>AVERAGE(M72,O72)</f>
        <v>255</v>
      </c>
      <c r="O72" s="573">
        <v>500</v>
      </c>
      <c r="P72" s="573" t="s">
        <v>960</v>
      </c>
    </row>
    <row r="73" spans="1:16" x14ac:dyDescent="0.35">
      <c r="A73" s="383" t="s">
        <v>490</v>
      </c>
      <c r="B73" s="454" t="s">
        <v>755</v>
      </c>
      <c r="C73" s="438">
        <v>1</v>
      </c>
      <c r="D73" s="468" t="s">
        <v>710</v>
      </c>
      <c r="E73" s="462">
        <v>10000</v>
      </c>
      <c r="F73" s="434">
        <f t="shared" ref="F73:F76" si="11">IF(A73="x",C73*E73,0)</f>
        <v>10000</v>
      </c>
      <c r="G73" s="382">
        <v>10</v>
      </c>
      <c r="H73" s="434">
        <f>PMT($C$14, G73, -F73)</f>
        <v>1172.305066051596</v>
      </c>
      <c r="L73" t="s">
        <v>964</v>
      </c>
      <c r="M73" s="572">
        <v>20000</v>
      </c>
      <c r="N73" s="506"/>
      <c r="O73" s="572">
        <v>700000</v>
      </c>
      <c r="P73" t="s">
        <v>970</v>
      </c>
    </row>
    <row r="74" spans="1:16" x14ac:dyDescent="0.35">
      <c r="A74" s="383" t="s">
        <v>490</v>
      </c>
      <c r="B74" s="454" t="s">
        <v>776</v>
      </c>
      <c r="C74" s="438" t="e">
        <f>Pads</f>
        <v>#N/A</v>
      </c>
      <c r="D74" s="468" t="s">
        <v>692</v>
      </c>
      <c r="E74" s="460">
        <v>15000</v>
      </c>
      <c r="F74" s="434" t="e">
        <f t="shared" si="11"/>
        <v>#N/A</v>
      </c>
      <c r="G74" s="382">
        <v>10</v>
      </c>
      <c r="H74" s="434" t="e">
        <f t="shared" ref="H74:H76" si="12">PMT($C$14, G74, -F74)</f>
        <v>#N/A</v>
      </c>
      <c r="L74" t="s">
        <v>962</v>
      </c>
      <c r="M74" s="572"/>
      <c r="N74" s="578">
        <v>0.5</v>
      </c>
      <c r="O74" s="572"/>
      <c r="P74" t="s">
        <v>684</v>
      </c>
    </row>
    <row r="75" spans="1:16" x14ac:dyDescent="0.35">
      <c r="A75" s="383" t="s">
        <v>490</v>
      </c>
      <c r="B75" s="454" t="s">
        <v>779</v>
      </c>
      <c r="C75" s="438" t="e">
        <f>Pads</f>
        <v>#N/A</v>
      </c>
      <c r="D75" s="468" t="s">
        <v>692</v>
      </c>
      <c r="E75" s="434">
        <v>5000</v>
      </c>
      <c r="F75" s="434" t="e">
        <f t="shared" si="11"/>
        <v>#N/A</v>
      </c>
      <c r="G75" s="382">
        <v>10</v>
      </c>
      <c r="H75" s="434" t="e">
        <f t="shared" si="12"/>
        <v>#N/A</v>
      </c>
      <c r="L75" t="s">
        <v>974</v>
      </c>
      <c r="M75" s="572"/>
      <c r="N75" s="506" t="e">
        <f>N74*J6</f>
        <v>#N/A</v>
      </c>
      <c r="O75" s="572"/>
      <c r="P75" t="s">
        <v>982</v>
      </c>
    </row>
    <row r="76" spans="1:16" x14ac:dyDescent="0.35">
      <c r="A76" s="383" t="s">
        <v>490</v>
      </c>
      <c r="B76" s="467" t="s">
        <v>782</v>
      </c>
      <c r="C76" s="382">
        <v>1</v>
      </c>
      <c r="D76" s="468" t="s">
        <v>710</v>
      </c>
      <c r="E76" s="434">
        <v>2500</v>
      </c>
      <c r="F76" s="434">
        <f t="shared" si="11"/>
        <v>2500</v>
      </c>
      <c r="G76" s="382">
        <v>10</v>
      </c>
      <c r="H76" s="434">
        <f t="shared" si="12"/>
        <v>293.076266512899</v>
      </c>
      <c r="L76" t="s">
        <v>971</v>
      </c>
      <c r="M76" s="572"/>
      <c r="N76" s="589" t="e">
        <f>N75/N72</f>
        <v>#N/A</v>
      </c>
      <c r="O76" s="572"/>
      <c r="P76" t="s">
        <v>977</v>
      </c>
    </row>
    <row r="77" spans="1:16" x14ac:dyDescent="0.35">
      <c r="B77" s="467"/>
      <c r="M77" s="572"/>
      <c r="N77" s="590"/>
      <c r="O77" s="572"/>
    </row>
    <row r="78" spans="1:16" x14ac:dyDescent="0.35">
      <c r="B78" s="471" t="s">
        <v>792</v>
      </c>
      <c r="M78" s="572"/>
      <c r="N78" s="590"/>
      <c r="O78" s="572"/>
    </row>
    <row r="79" spans="1:16" x14ac:dyDescent="0.35">
      <c r="A79" s="383" t="s">
        <v>490</v>
      </c>
      <c r="B79" s="472" t="s">
        <v>793</v>
      </c>
      <c r="C79" s="473">
        <v>0.05</v>
      </c>
      <c r="E79" s="465" t="e">
        <f>(SUM(F32:F78)+F80)</f>
        <v>#N/A</v>
      </c>
      <c r="F79" s="434" t="e">
        <f>IF(A79="x",C79*E79,0)</f>
        <v>#N/A</v>
      </c>
      <c r="G79" s="382">
        <v>20</v>
      </c>
      <c r="H79" s="434" t="e">
        <f>PMT($C$14, G79, -F79)</f>
        <v>#N/A</v>
      </c>
      <c r="I79" s="474" t="e">
        <f>SUM(I31:I78)+#REF!+4.2</f>
        <v>#REF!</v>
      </c>
      <c r="M79" s="572"/>
      <c r="N79" s="590"/>
      <c r="O79" s="572"/>
    </row>
    <row r="80" spans="1:16" x14ac:dyDescent="0.35">
      <c r="A80" s="383" t="s">
        <v>490</v>
      </c>
      <c r="B80" t="s">
        <v>794</v>
      </c>
      <c r="C80" s="475" t="e">
        <f>Site_Area</f>
        <v>#N/A</v>
      </c>
      <c r="D80" s="383" t="s">
        <v>723</v>
      </c>
      <c r="E80" s="465">
        <v>1000</v>
      </c>
      <c r="F80" s="434" t="e">
        <f t="shared" ref="F80:F86" si="13">IF(A80="x",C80*E80,0)</f>
        <v>#N/A</v>
      </c>
      <c r="G80" s="382">
        <v>20</v>
      </c>
      <c r="H80" s="434" t="e">
        <f>PMT($C$14, G80, -F80)</f>
        <v>#N/A</v>
      </c>
      <c r="M80" s="572"/>
      <c r="N80" s="590"/>
      <c r="O80" s="572"/>
    </row>
    <row r="81" spans="1:17" ht="15" thickBot="1" x14ac:dyDescent="0.4">
      <c r="C81" s="475"/>
      <c r="E81" s="476" t="s">
        <v>711</v>
      </c>
      <c r="F81" s="444" t="e">
        <f>SUM(F32:F80)</f>
        <v>#N/A</v>
      </c>
      <c r="G81" s="476" t="s">
        <v>711</v>
      </c>
      <c r="H81" s="444" t="e">
        <f>SUM(H32:H80)</f>
        <v>#N/A</v>
      </c>
      <c r="I81" s="477"/>
      <c r="L81" s="573" t="s">
        <v>966</v>
      </c>
      <c r="M81" s="573">
        <v>20</v>
      </c>
      <c r="N81" s="576">
        <f t="shared" ref="N81:N85" si="14">AVERAGE(M81,O81)</f>
        <v>1010</v>
      </c>
      <c r="O81" s="573">
        <v>2000</v>
      </c>
      <c r="P81" s="573" t="s">
        <v>960</v>
      </c>
    </row>
    <row r="82" spans="1:17" ht="15" thickTop="1" x14ac:dyDescent="0.35">
      <c r="C82" s="475"/>
      <c r="E82" s="465"/>
      <c r="F82" s="434"/>
      <c r="G82" s="382"/>
      <c r="H82" s="434"/>
      <c r="L82" t="s">
        <v>967</v>
      </c>
      <c r="M82" s="572">
        <v>20000</v>
      </c>
      <c r="N82" s="506"/>
      <c r="O82" s="572">
        <v>50000</v>
      </c>
      <c r="P82" t="s">
        <v>970</v>
      </c>
    </row>
    <row r="83" spans="1:17" x14ac:dyDescent="0.35">
      <c r="C83" s="475"/>
      <c r="E83" s="465"/>
      <c r="F83" s="434"/>
      <c r="G83" s="382"/>
      <c r="H83" s="434"/>
      <c r="L83" t="s">
        <v>975</v>
      </c>
      <c r="M83" s="572"/>
      <c r="N83" s="506" t="e">
        <f>H6*2000/I6</f>
        <v>#N/A</v>
      </c>
      <c r="O83" s="572"/>
      <c r="P83" t="s">
        <v>982</v>
      </c>
    </row>
    <row r="84" spans="1:17" x14ac:dyDescent="0.35">
      <c r="C84" s="475"/>
      <c r="E84" s="465"/>
      <c r="F84" s="434"/>
      <c r="G84" s="382"/>
      <c r="H84" s="434"/>
      <c r="L84" s="574" t="s">
        <v>972</v>
      </c>
      <c r="M84" s="577"/>
      <c r="N84" s="583" t="e">
        <f>N83/N81</f>
        <v>#N/A</v>
      </c>
      <c r="O84" s="577"/>
      <c r="P84" s="574" t="s">
        <v>977</v>
      </c>
    </row>
    <row r="85" spans="1:17" x14ac:dyDescent="0.35">
      <c r="A85" s="383" t="s">
        <v>490</v>
      </c>
      <c r="B85" s="478" t="s">
        <v>787</v>
      </c>
      <c r="C85" s="479">
        <f>M63</f>
        <v>0.15</v>
      </c>
      <c r="E85" s="480" t="e">
        <f>F81</f>
        <v>#N/A</v>
      </c>
      <c r="F85" s="434" t="e">
        <f>IF(A85="x",C85*E85,0)</f>
        <v>#N/A</v>
      </c>
      <c r="G85" s="382">
        <v>20</v>
      </c>
      <c r="H85" s="434" t="e">
        <f>PMT($C$14, G85, -F85)</f>
        <v>#N/A</v>
      </c>
      <c r="L85" s="573" t="s">
        <v>968</v>
      </c>
      <c r="M85" s="573">
        <v>10</v>
      </c>
      <c r="N85" s="576">
        <f t="shared" si="14"/>
        <v>105</v>
      </c>
      <c r="O85" s="573">
        <v>200</v>
      </c>
      <c r="P85" s="573" t="s">
        <v>960</v>
      </c>
    </row>
    <row r="86" spans="1:17" x14ac:dyDescent="0.35">
      <c r="A86" s="383" t="s">
        <v>490</v>
      </c>
      <c r="B86" s="481" t="s">
        <v>788</v>
      </c>
      <c r="C86" s="479">
        <f t="shared" ref="C86:C87" si="15">M64</f>
        <v>0.1</v>
      </c>
      <c r="E86" s="480" t="e">
        <f>F81</f>
        <v>#N/A</v>
      </c>
      <c r="F86" s="434" t="e">
        <f t="shared" si="13"/>
        <v>#N/A</v>
      </c>
      <c r="G86" s="382">
        <v>20</v>
      </c>
      <c r="H86" s="434" t="e">
        <f t="shared" ref="H86" si="16">PMT($C$14, G86, -F86)</f>
        <v>#N/A</v>
      </c>
      <c r="L86" t="s">
        <v>969</v>
      </c>
      <c r="M86" s="572">
        <v>50000</v>
      </c>
      <c r="N86" s="506"/>
      <c r="O86" s="572">
        <v>180000</v>
      </c>
      <c r="P86" t="s">
        <v>970</v>
      </c>
    </row>
    <row r="87" spans="1:17" x14ac:dyDescent="0.35">
      <c r="A87" s="383" t="s">
        <v>490</v>
      </c>
      <c r="B87" s="481" t="s">
        <v>795</v>
      </c>
      <c r="C87" s="479">
        <f t="shared" si="15"/>
        <v>0.1</v>
      </c>
      <c r="E87" s="480" t="e">
        <f>F81</f>
        <v>#N/A</v>
      </c>
      <c r="F87" s="434" t="e">
        <f>IF(A87="x",C87*E87,0)</f>
        <v>#N/A</v>
      </c>
      <c r="G87" s="382">
        <v>20</v>
      </c>
      <c r="H87" s="434" t="e">
        <f>PMT($C$14, G87, -F87)</f>
        <v>#N/A</v>
      </c>
      <c r="L87" t="s">
        <v>976</v>
      </c>
      <c r="M87" s="572"/>
      <c r="N87" s="506" t="e">
        <f>((C10*2000)/1000)*0.4</f>
        <v>#N/A</v>
      </c>
      <c r="O87" s="572"/>
      <c r="P87" t="s">
        <v>982</v>
      </c>
    </row>
    <row r="88" spans="1:17" ht="15" thickBot="1" x14ac:dyDescent="0.4">
      <c r="E88" s="421" t="s">
        <v>711</v>
      </c>
      <c r="F88" s="444" t="e">
        <f>SUM(F85:F87)</f>
        <v>#N/A</v>
      </c>
      <c r="G88" s="421" t="s">
        <v>711</v>
      </c>
      <c r="H88" s="444" t="e">
        <f>SUM(H85:H87)</f>
        <v>#N/A</v>
      </c>
      <c r="L88" s="574" t="s">
        <v>973</v>
      </c>
      <c r="M88" s="574"/>
      <c r="N88" s="582" t="e">
        <f>N87/N85</f>
        <v>#N/A</v>
      </c>
      <c r="O88" s="574"/>
      <c r="P88" s="574" t="s">
        <v>977</v>
      </c>
    </row>
    <row r="89" spans="1:17" ht="15" thickTop="1" x14ac:dyDescent="0.35"/>
    <row r="90" spans="1:17" ht="15" thickBot="1" x14ac:dyDescent="0.4">
      <c r="C90" s="482"/>
      <c r="D90" s="483"/>
      <c r="E90" s="484" t="s">
        <v>796</v>
      </c>
      <c r="F90" s="485" t="e">
        <f>F88+F81+F29</f>
        <v>#N/A</v>
      </c>
      <c r="G90" s="485"/>
      <c r="H90" s="485" t="e">
        <f>H88+H81+H29</f>
        <v>#N/A</v>
      </c>
      <c r="L90" t="s">
        <v>985</v>
      </c>
      <c r="M90" s="437" t="e">
        <f>H7/26</f>
        <v>#N/A</v>
      </c>
      <c r="N90" t="s">
        <v>986</v>
      </c>
    </row>
    <row r="91" spans="1:17" ht="15.5" thickTop="1" thickBot="1" x14ac:dyDescent="0.4">
      <c r="C91" s="482"/>
      <c r="D91" s="483"/>
      <c r="E91" s="484" t="s">
        <v>797</v>
      </c>
      <c r="F91" s="579" t="e">
        <f>F90/C10</f>
        <v>#N/A</v>
      </c>
      <c r="G91" s="485"/>
      <c r="H91" s="486" t="e">
        <f>H90/C10</f>
        <v>#N/A</v>
      </c>
      <c r="L91" t="s">
        <v>985</v>
      </c>
      <c r="M91" s="437" t="e">
        <f>J7/26</f>
        <v>#N/A</v>
      </c>
      <c r="N91" t="s">
        <v>677</v>
      </c>
    </row>
    <row r="92" spans="1:17" ht="20.5" thickTop="1" thickBot="1" x14ac:dyDescent="0.5">
      <c r="B92" s="426" t="s">
        <v>798</v>
      </c>
      <c r="C92" s="427"/>
      <c r="D92" s="487"/>
      <c r="E92" s="426"/>
      <c r="F92" s="426"/>
      <c r="L92" t="s">
        <v>987</v>
      </c>
      <c r="M92" s="437">
        <f>(C42/M5)*M15</f>
        <v>441.11111111111114</v>
      </c>
      <c r="N92" t="s">
        <v>986</v>
      </c>
    </row>
    <row r="93" spans="1:17" ht="18" thickTop="1" thickBot="1" x14ac:dyDescent="0.45">
      <c r="B93" s="391" t="s">
        <v>799</v>
      </c>
      <c r="C93" s="488" t="s">
        <v>800</v>
      </c>
      <c r="D93" s="489" t="s">
        <v>801</v>
      </c>
      <c r="E93" s="490" t="s">
        <v>802</v>
      </c>
      <c r="F93" s="490" t="s">
        <v>652</v>
      </c>
      <c r="G93" t="s">
        <v>983</v>
      </c>
      <c r="H93" t="s">
        <v>984</v>
      </c>
      <c r="L93" t="s">
        <v>987</v>
      </c>
      <c r="M93" s="437">
        <f>(C42/M5)*M14</f>
        <v>1764.4444444444446</v>
      </c>
      <c r="N93" t="s">
        <v>677</v>
      </c>
    </row>
    <row r="94" spans="1:17" ht="15" thickTop="1" x14ac:dyDescent="0.35">
      <c r="B94" t="s">
        <v>803</v>
      </c>
      <c r="C94" s="564" t="e">
        <f>IF(J7&lt;20000,0.25,IF(J7&lt;40000, 0.5,1))</f>
        <v>#N/A</v>
      </c>
      <c r="D94" s="383" t="s">
        <v>804</v>
      </c>
      <c r="E94" s="588">
        <f>30*1.5</f>
        <v>45</v>
      </c>
      <c r="F94" s="434">
        <f t="shared" ref="F94:F98" si="17">IF(A94="x",C94*E94*2080,0)</f>
        <v>0</v>
      </c>
      <c r="G94" s="587" t="e">
        <f>C94</f>
        <v>#N/A</v>
      </c>
      <c r="H94" s="585" t="e">
        <f>G94*2080</f>
        <v>#N/A</v>
      </c>
      <c r="L94" t="s">
        <v>988</v>
      </c>
      <c r="M94" s="437" t="e">
        <f>N75/26</f>
        <v>#N/A</v>
      </c>
      <c r="N94" t="s">
        <v>677</v>
      </c>
      <c r="O94" s="437"/>
      <c r="P94" s="437"/>
      <c r="Q94" s="437"/>
    </row>
    <row r="95" spans="1:17" x14ac:dyDescent="0.35">
      <c r="B95" t="s">
        <v>805</v>
      </c>
      <c r="C95" s="565">
        <v>1</v>
      </c>
      <c r="D95" s="383" t="s">
        <v>804</v>
      </c>
      <c r="E95" s="588">
        <f>EquipOperatorWages/2080</f>
        <v>23.477999999999994</v>
      </c>
      <c r="F95" s="434">
        <f t="shared" si="17"/>
        <v>0</v>
      </c>
      <c r="G95" s="587" t="e">
        <f>(C99-SUM(G94,G96,G98))/2</f>
        <v>#N/A</v>
      </c>
      <c r="H95" s="585" t="e">
        <f t="shared" ref="H95:H98" si="18">G95*2080</f>
        <v>#N/A</v>
      </c>
      <c r="I95" s="504"/>
      <c r="L95" t="s">
        <v>989</v>
      </c>
      <c r="M95" s="437" t="e">
        <f>N83/26</f>
        <v>#N/A</v>
      </c>
      <c r="N95" t="s">
        <v>677</v>
      </c>
      <c r="O95" s="437"/>
      <c r="P95" s="437"/>
      <c r="Q95" s="437"/>
    </row>
    <row r="96" spans="1:17" x14ac:dyDescent="0.35">
      <c r="B96" t="s">
        <v>806</v>
      </c>
      <c r="C96" s="564" t="e">
        <f>IF(J7&lt;20000,0.5, 1)</f>
        <v>#N/A</v>
      </c>
      <c r="D96" s="383" t="s">
        <v>804</v>
      </c>
      <c r="E96" s="588">
        <f>'Transfer &amp; MRF Assumptions'!E10/2080</f>
        <v>30.315999999999999</v>
      </c>
      <c r="F96" s="434">
        <f t="shared" si="17"/>
        <v>0</v>
      </c>
      <c r="G96" s="587" t="e">
        <f>C96</f>
        <v>#N/A</v>
      </c>
      <c r="H96" s="585" t="e">
        <f t="shared" si="18"/>
        <v>#N/A</v>
      </c>
      <c r="L96" t="s">
        <v>990</v>
      </c>
      <c r="M96" s="504" t="e">
        <f>M91/M93</f>
        <v>#N/A</v>
      </c>
    </row>
    <row r="97" spans="1:14" x14ac:dyDescent="0.35">
      <c r="B97" t="s">
        <v>807</v>
      </c>
      <c r="C97" s="565">
        <v>1</v>
      </c>
      <c r="D97" s="383" t="s">
        <v>804</v>
      </c>
      <c r="E97" s="588">
        <f>'Transfer &amp; MRF Assumptions'!E4/2080</f>
        <v>19.63</v>
      </c>
      <c r="F97" s="434">
        <f t="shared" si="17"/>
        <v>0</v>
      </c>
      <c r="G97" s="587" t="e">
        <f>(C99-SUM(G94,G96,G98))/2</f>
        <v>#N/A</v>
      </c>
      <c r="H97" s="585" t="e">
        <f t="shared" si="18"/>
        <v>#N/A</v>
      </c>
      <c r="L97" t="s">
        <v>1004</v>
      </c>
      <c r="M97" s="382" t="e">
        <f>C113/12</f>
        <v>#N/A</v>
      </c>
      <c r="N97" t="s">
        <v>677</v>
      </c>
    </row>
    <row r="98" spans="1:14" x14ac:dyDescent="0.35">
      <c r="B98" t="s">
        <v>808</v>
      </c>
      <c r="C98" s="565">
        <v>1</v>
      </c>
      <c r="D98" s="383" t="s">
        <v>804</v>
      </c>
      <c r="E98" s="588">
        <f>ScaleClericalWages/2080</f>
        <v>22.425000000000001</v>
      </c>
      <c r="F98" s="434">
        <f t="shared" si="17"/>
        <v>0</v>
      </c>
      <c r="G98" s="410">
        <f>C98</f>
        <v>1</v>
      </c>
      <c r="H98" s="585">
        <f t="shared" si="18"/>
        <v>2080</v>
      </c>
    </row>
    <row r="99" spans="1:14" x14ac:dyDescent="0.35">
      <c r="A99" s="383" t="s">
        <v>490</v>
      </c>
      <c r="B99" s="563" t="s">
        <v>809</v>
      </c>
      <c r="C99" s="564" t="e">
        <f>ROUNDUP((H7/10000)*4.1,0)</f>
        <v>#N/A</v>
      </c>
      <c r="D99" s="383" t="s">
        <v>804</v>
      </c>
      <c r="E99" s="491" t="e">
        <f>SUMPRODUCT(G94:G98,E94:E98)/C99</f>
        <v>#N/A</v>
      </c>
      <c r="F99" s="434" t="e">
        <f>IF(A99="x",C99*E99*2080,0)</f>
        <v>#N/A</v>
      </c>
      <c r="G99" s="417" t="e">
        <f>F99/C10</f>
        <v>#N/A</v>
      </c>
      <c r="H99" t="s">
        <v>981</v>
      </c>
    </row>
    <row r="100" spans="1:14" ht="15" thickBot="1" x14ac:dyDescent="0.4">
      <c r="E100" s="484" t="s">
        <v>810</v>
      </c>
      <c r="F100" s="444" t="e">
        <f>SUM(F94:F99)</f>
        <v>#N/A</v>
      </c>
      <c r="G100" s="394" t="e">
        <f>F100/C$10</f>
        <v>#N/A</v>
      </c>
    </row>
    <row r="101" spans="1:14" ht="21" customHeight="1" thickTop="1" thickBot="1" x14ac:dyDescent="0.45">
      <c r="B101" s="391" t="s">
        <v>811</v>
      </c>
      <c r="C101" s="445"/>
      <c r="D101" s="446"/>
      <c r="E101" s="492"/>
      <c r="F101" s="492"/>
    </row>
    <row r="102" spans="1:14" ht="15" thickTop="1" x14ac:dyDescent="0.35">
      <c r="A102" s="383" t="s">
        <v>490</v>
      </c>
      <c r="B102" t="s">
        <v>812</v>
      </c>
      <c r="C102" s="493">
        <v>0.1</v>
      </c>
      <c r="D102" s="383" t="s">
        <v>684</v>
      </c>
      <c r="E102" s="443" t="e">
        <f>H29</f>
        <v>#N/A</v>
      </c>
      <c r="F102" s="434" t="e">
        <f>IF(A102="x",C102*E102,0)</f>
        <v>#N/A</v>
      </c>
      <c r="G102" s="425"/>
      <c r="I102" s="494">
        <f>C16</f>
        <v>0</v>
      </c>
      <c r="J102" s="495" t="s">
        <v>813</v>
      </c>
      <c r="K102" s="495" t="s">
        <v>814</v>
      </c>
      <c r="L102" s="496" t="s">
        <v>815</v>
      </c>
    </row>
    <row r="103" spans="1:14" x14ac:dyDescent="0.35">
      <c r="A103" s="383" t="s">
        <v>490</v>
      </c>
      <c r="B103" t="s">
        <v>816</v>
      </c>
      <c r="C103" s="493">
        <v>0.1</v>
      </c>
      <c r="D103" s="383" t="s">
        <v>684</v>
      </c>
      <c r="E103" s="434" t="e">
        <f>H81</f>
        <v>#N/A</v>
      </c>
      <c r="F103" s="434" t="e">
        <f t="shared" ref="F103:F106" si="19">IF(A103="x",C103*E103,0)</f>
        <v>#N/A</v>
      </c>
      <c r="I103" s="497"/>
      <c r="J103" s="383" t="s">
        <v>817</v>
      </c>
      <c r="K103" s="387">
        <v>10</v>
      </c>
      <c r="L103" s="498" t="s">
        <v>818</v>
      </c>
    </row>
    <row r="104" spans="1:14" x14ac:dyDescent="0.35">
      <c r="A104" s="383" t="s">
        <v>490</v>
      </c>
      <c r="B104" t="s">
        <v>819</v>
      </c>
      <c r="C104" s="382">
        <f>C42+C53</f>
        <v>5600</v>
      </c>
      <c r="D104" s="383" t="s">
        <v>647</v>
      </c>
      <c r="E104" s="417">
        <v>1</v>
      </c>
      <c r="F104" s="434">
        <f t="shared" si="19"/>
        <v>5600</v>
      </c>
      <c r="I104" s="499">
        <f>K104*K103</f>
        <v>260</v>
      </c>
      <c r="J104" t="s">
        <v>820</v>
      </c>
      <c r="K104">
        <v>26</v>
      </c>
      <c r="L104" s="498" t="s">
        <v>821</v>
      </c>
    </row>
    <row r="105" spans="1:14" x14ac:dyDescent="0.35">
      <c r="A105" s="383" t="s">
        <v>490</v>
      </c>
      <c r="B105" t="s">
        <v>822</v>
      </c>
      <c r="C105" s="382">
        <v>1</v>
      </c>
      <c r="D105" s="383" t="s">
        <v>710</v>
      </c>
      <c r="E105" s="434">
        <v>25000</v>
      </c>
      <c r="F105" s="434">
        <f t="shared" si="19"/>
        <v>25000</v>
      </c>
      <c r="I105" s="500">
        <f>I104/9</f>
        <v>28.888888888888889</v>
      </c>
      <c r="J105" t="s">
        <v>823</v>
      </c>
      <c r="K105">
        <v>90</v>
      </c>
      <c r="L105" s="498" t="s">
        <v>824</v>
      </c>
    </row>
    <row r="106" spans="1:14" x14ac:dyDescent="0.35">
      <c r="A106" s="383" t="s">
        <v>490</v>
      </c>
      <c r="B106" t="s">
        <v>825</v>
      </c>
      <c r="C106" s="382">
        <f>C104</f>
        <v>5600</v>
      </c>
      <c r="D106" s="464" t="s">
        <v>647</v>
      </c>
      <c r="E106" s="417">
        <v>1.5</v>
      </c>
      <c r="F106" s="434">
        <f t="shared" si="19"/>
        <v>8400</v>
      </c>
      <c r="I106" s="501">
        <f>I102/I105</f>
        <v>0</v>
      </c>
      <c r="J106" t="s">
        <v>826</v>
      </c>
      <c r="L106" s="498"/>
    </row>
    <row r="107" spans="1:14" ht="15" thickBot="1" x14ac:dyDescent="0.4">
      <c r="E107" s="400" t="s">
        <v>810</v>
      </c>
      <c r="F107" s="444" t="e">
        <f>SUM(F102:F106)</f>
        <v>#N/A</v>
      </c>
      <c r="G107" s="394" t="e">
        <f>F107/C$10</f>
        <v>#N/A</v>
      </c>
      <c r="I107" s="502">
        <f>I106/(K105/3)</f>
        <v>0</v>
      </c>
      <c r="J107" t="s">
        <v>827</v>
      </c>
      <c r="K107" s="437">
        <f>K105*(K104+4)*I109</f>
        <v>0</v>
      </c>
      <c r="L107" s="498" t="s">
        <v>828</v>
      </c>
    </row>
    <row r="108" spans="1:14" ht="18" thickTop="1" thickBot="1" x14ac:dyDescent="0.45">
      <c r="B108" s="391" t="s">
        <v>829</v>
      </c>
      <c r="C108" s="445"/>
      <c r="D108" s="446"/>
      <c r="E108" s="391"/>
      <c r="F108" s="503"/>
      <c r="I108" s="501">
        <v>8</v>
      </c>
      <c r="J108" t="s">
        <v>830</v>
      </c>
      <c r="K108" s="504">
        <f>ROUNDUP(K107/43000,0)</f>
        <v>0</v>
      </c>
      <c r="L108" s="498" t="s">
        <v>831</v>
      </c>
    </row>
    <row r="109" spans="1:14" ht="15" thickTop="1" x14ac:dyDescent="0.35">
      <c r="A109" s="383" t="s">
        <v>490</v>
      </c>
      <c r="B109" t="s">
        <v>832</v>
      </c>
      <c r="C109" s="505" t="e">
        <f>Pads*Zones*G111*G113*G110*G112</f>
        <v>#N/A</v>
      </c>
      <c r="D109" s="383" t="s">
        <v>833</v>
      </c>
      <c r="E109" s="570">
        <f>'Transfer &amp; MRF Assumptions'!B62/100</f>
        <v>6.6699999999999995E-2</v>
      </c>
      <c r="F109" s="434" t="e">
        <f>IF(A109="x",C109*E109,0)</f>
        <v>#N/A</v>
      </c>
      <c r="G109" t="s">
        <v>834</v>
      </c>
      <c r="I109" s="502">
        <f>ROUND(I107/6,0)</f>
        <v>0</v>
      </c>
      <c r="J109" t="s">
        <v>835</v>
      </c>
      <c r="L109" s="498"/>
    </row>
    <row r="110" spans="1:14" x14ac:dyDescent="0.35">
      <c r="A110" s="383" t="s">
        <v>490</v>
      </c>
      <c r="B110" t="s">
        <v>836</v>
      </c>
      <c r="C110" s="571" t="e">
        <f>1.5*M71</f>
        <v>#N/A</v>
      </c>
      <c r="D110" s="464" t="s">
        <v>837</v>
      </c>
      <c r="E110" s="570">
        <f>AVERAGE(M70:O70)*'Transfer &amp; MRF Assumptions'!B57</f>
        <v>5.4</v>
      </c>
      <c r="F110" s="434" t="e">
        <f>IF(A110="x",C110*E110,0)</f>
        <v>#N/A</v>
      </c>
      <c r="G110" s="505">
        <v>8</v>
      </c>
      <c r="H110" s="440" t="s">
        <v>838</v>
      </c>
      <c r="I110" s="502">
        <f>I106/6</f>
        <v>0</v>
      </c>
      <c r="K110" s="506"/>
      <c r="L110" s="498" t="s">
        <v>839</v>
      </c>
    </row>
    <row r="111" spans="1:14" x14ac:dyDescent="0.35">
      <c r="A111" s="383" t="s">
        <v>490</v>
      </c>
      <c r="B111" t="s">
        <v>840</v>
      </c>
      <c r="C111" s="568" t="e">
        <f>N74*J6</f>
        <v>#N/A</v>
      </c>
      <c r="D111" s="464" t="s">
        <v>841</v>
      </c>
      <c r="E111" s="417">
        <v>2</v>
      </c>
      <c r="F111" s="434" t="e">
        <f>IF(A111="x",C111*E111,0)</f>
        <v>#N/A</v>
      </c>
      <c r="G111" s="440">
        <v>2</v>
      </c>
      <c r="H111" s="440" t="s">
        <v>842</v>
      </c>
      <c r="I111" s="499"/>
      <c r="J111" t="s">
        <v>843</v>
      </c>
      <c r="K111">
        <v>90</v>
      </c>
      <c r="L111" s="498" t="s">
        <v>844</v>
      </c>
    </row>
    <row r="112" spans="1:14" x14ac:dyDescent="0.35">
      <c r="A112" s="383" t="s">
        <v>490</v>
      </c>
      <c r="B112" t="s">
        <v>700</v>
      </c>
      <c r="C112" s="438" t="e">
        <f>H6</f>
        <v>#N/A</v>
      </c>
      <c r="D112" s="507" t="s">
        <v>845</v>
      </c>
      <c r="E112" s="417">
        <v>1.5</v>
      </c>
      <c r="F112" s="434" t="e">
        <f>IF(A112="x",C112*E112,0)</f>
        <v>#N/A</v>
      </c>
      <c r="G112" s="440">
        <v>365</v>
      </c>
      <c r="H112" s="440" t="s">
        <v>846</v>
      </c>
      <c r="I112" s="499"/>
      <c r="K112">
        <v>26</v>
      </c>
      <c r="L112" s="498" t="s">
        <v>847</v>
      </c>
    </row>
    <row r="113" spans="1:12" x14ac:dyDescent="0.35">
      <c r="A113" s="383" t="s">
        <v>490</v>
      </c>
      <c r="B113" t="s">
        <v>848</v>
      </c>
      <c r="C113" s="438" t="e">
        <f>((C10*2000)/1000)*0.4</f>
        <v>#N/A</v>
      </c>
      <c r="D113" s="464" t="s">
        <v>849</v>
      </c>
      <c r="E113" s="417">
        <v>3.75</v>
      </c>
      <c r="F113" s="434" t="e">
        <f>IF(A113="x",C113*E113,0)</f>
        <v>#N/A</v>
      </c>
      <c r="G113" s="440">
        <v>0.75</v>
      </c>
      <c r="H113" s="440" t="s">
        <v>850</v>
      </c>
      <c r="I113" s="499"/>
      <c r="K113">
        <v>10</v>
      </c>
      <c r="L113" s="498" t="s">
        <v>851</v>
      </c>
    </row>
    <row r="114" spans="1:12" x14ac:dyDescent="0.35">
      <c r="B114" t="s">
        <v>852</v>
      </c>
      <c r="C114" s="438">
        <v>500</v>
      </c>
      <c r="D114" s="464" t="s">
        <v>853</v>
      </c>
      <c r="E114" s="417">
        <v>4.8499999999999996</v>
      </c>
      <c r="F114" s="434">
        <f t="shared" ref="F114:F115" si="20">IF(A114="x",C114*E114,0)</f>
        <v>0</v>
      </c>
      <c r="I114" s="508"/>
      <c r="K114" s="506">
        <f>K111*K112*K113*0.5</f>
        <v>11700</v>
      </c>
      <c r="L114" s="498" t="s">
        <v>854</v>
      </c>
    </row>
    <row r="115" spans="1:12" ht="20" thickBot="1" x14ac:dyDescent="0.5">
      <c r="A115" s="383" t="s">
        <v>490</v>
      </c>
      <c r="B115" t="s">
        <v>855</v>
      </c>
      <c r="C115" s="438">
        <f>0</f>
        <v>0</v>
      </c>
      <c r="D115" s="507" t="s">
        <v>845</v>
      </c>
      <c r="E115" s="417">
        <v>26.5</v>
      </c>
      <c r="F115" s="434">
        <f t="shared" si="20"/>
        <v>0</v>
      </c>
      <c r="G115" s="474" t="e">
        <f>F115/C10</f>
        <v>#N/A</v>
      </c>
      <c r="I115" s="509"/>
      <c r="J115" s="510"/>
      <c r="K115" s="511">
        <f>K114/27</f>
        <v>433.33333333333331</v>
      </c>
      <c r="L115" s="512" t="s">
        <v>856</v>
      </c>
    </row>
    <row r="116" spans="1:12" x14ac:dyDescent="0.35">
      <c r="E116" s="513" t="s">
        <v>711</v>
      </c>
      <c r="F116" s="514" t="e">
        <f>SUM(F109:F115)</f>
        <v>#N/A</v>
      </c>
      <c r="G116" s="394" t="e">
        <f>F116/C$10</f>
        <v>#N/A</v>
      </c>
    </row>
    <row r="117" spans="1:12" x14ac:dyDescent="0.35">
      <c r="E117" s="515"/>
      <c r="F117" s="394"/>
      <c r="G117" s="394"/>
    </row>
    <row r="118" spans="1:12" x14ac:dyDescent="0.35">
      <c r="A118" s="383" t="s">
        <v>490</v>
      </c>
      <c r="B118" t="s">
        <v>958</v>
      </c>
      <c r="C118" s="568" t="e">
        <f>C10*0.1</f>
        <v>#N/A</v>
      </c>
      <c r="D118" s="507" t="s">
        <v>845</v>
      </c>
      <c r="E118" s="566" t="e">
        <f>VLOOKUP(Input!C6,DropDowns_LookUps!A27:B33,2)</f>
        <v>#N/A</v>
      </c>
      <c r="F118" s="434" t="e">
        <f>IF(A118="x",C118*E118,0)</f>
        <v>#N/A</v>
      </c>
      <c r="G118" s="394" t="e">
        <f>F118/C$10</f>
        <v>#N/A</v>
      </c>
      <c r="H118" s="394" t="e">
        <f>G118+G116+G107+G100</f>
        <v>#N/A</v>
      </c>
    </row>
    <row r="119" spans="1:12" x14ac:dyDescent="0.35">
      <c r="B119" s="425"/>
    </row>
    <row r="120" spans="1:12" ht="15" thickBot="1" x14ac:dyDescent="0.4">
      <c r="E120" s="484" t="s">
        <v>1072</v>
      </c>
      <c r="F120" s="421" t="e">
        <f>F100+F107+F116+F118+H90</f>
        <v>#N/A</v>
      </c>
      <c r="G120" s="480" t="e">
        <f>F100+F107+F116+F118</f>
        <v>#N/A</v>
      </c>
      <c r="H120" t="e">
        <f>G120/(C10*2)</f>
        <v>#N/A</v>
      </c>
    </row>
    <row r="121" spans="1:12" ht="15.5" thickTop="1" thickBot="1" x14ac:dyDescent="0.4">
      <c r="E121" s="484" t="s">
        <v>857</v>
      </c>
      <c r="F121" s="400" t="e">
        <f>F120/C10</f>
        <v>#N/A</v>
      </c>
      <c r="H121" s="394" t="e">
        <f>H118+H91</f>
        <v>#N/A</v>
      </c>
    </row>
    <row r="122" spans="1:12" ht="15" thickTop="1" x14ac:dyDescent="0.35">
      <c r="E122" t="s">
        <v>1073</v>
      </c>
      <c r="F122" s="747" t="e">
        <f>F120-(C124+C126)</f>
        <v>#N/A</v>
      </c>
      <c r="I122" s="382"/>
    </row>
    <row r="123" spans="1:12" ht="20" thickBot="1" x14ac:dyDescent="0.5">
      <c r="B123" s="426" t="s">
        <v>858</v>
      </c>
      <c r="C123" s="427"/>
      <c r="I123" s="382"/>
    </row>
    <row r="124" spans="1:12" ht="15" thickTop="1" x14ac:dyDescent="0.35">
      <c r="B124" t="s">
        <v>859</v>
      </c>
      <c r="C124" s="382" t="e">
        <f>C10*C5</f>
        <v>#N/A</v>
      </c>
      <c r="I124" s="382"/>
    </row>
    <row r="125" spans="1:12" x14ac:dyDescent="0.35">
      <c r="B125" t="s">
        <v>860</v>
      </c>
      <c r="C125" s="382">
        <v>0</v>
      </c>
      <c r="I125" s="382"/>
    </row>
    <row r="126" spans="1:12" x14ac:dyDescent="0.35">
      <c r="B126" t="s">
        <v>861</v>
      </c>
      <c r="C126" s="516" t="e">
        <f>0.8*C113*C6</f>
        <v>#N/A</v>
      </c>
      <c r="D126" s="517" t="e">
        <f>C113/2</f>
        <v>#N/A</v>
      </c>
      <c r="E126" t="e">
        <f>C126/D126</f>
        <v>#N/A</v>
      </c>
      <c r="I126" s="382"/>
    </row>
    <row r="127" spans="1:12" ht="15" thickBot="1" x14ac:dyDescent="0.4">
      <c r="B127" s="484" t="s">
        <v>862</v>
      </c>
      <c r="C127" s="518" t="e">
        <f>(C124+C126)/C10</f>
        <v>#N/A</v>
      </c>
      <c r="D127" s="519" t="e">
        <f>C127*C10</f>
        <v>#N/A</v>
      </c>
      <c r="E127" s="434" t="e">
        <f>C126+C124</f>
        <v>#N/A</v>
      </c>
      <c r="F127" s="567" t="s">
        <v>953</v>
      </c>
    </row>
    <row r="128" spans="1:12" ht="15.5" thickTop="1" thickBot="1" x14ac:dyDescent="0.4"/>
    <row r="129" spans="2:9" ht="17.5" thickBot="1" x14ac:dyDescent="0.4">
      <c r="B129" s="520" t="s">
        <v>863</v>
      </c>
      <c r="C129" s="521" t="s">
        <v>815</v>
      </c>
      <c r="D129" s="522"/>
    </row>
    <row r="130" spans="2:9" ht="35" thickTop="1" thickBot="1" x14ac:dyDescent="0.4">
      <c r="B130" s="523" t="s">
        <v>864</v>
      </c>
      <c r="C130" s="524" t="e">
        <f>C10</f>
        <v>#N/A</v>
      </c>
      <c r="I130" s="382"/>
    </row>
    <row r="131" spans="2:9" ht="17.5" thickBot="1" x14ac:dyDescent="0.4">
      <c r="B131" s="525" t="s">
        <v>865</v>
      </c>
      <c r="C131" s="526" t="e">
        <f>I79</f>
        <v>#REF!</v>
      </c>
      <c r="D131" s="527"/>
      <c r="E131" s="382"/>
      <c r="F131" s="382"/>
      <c r="G131" s="382"/>
      <c r="H131" s="382"/>
      <c r="I131" s="382"/>
    </row>
    <row r="132" spans="2:9" ht="17.5" thickBot="1" x14ac:dyDescent="0.4">
      <c r="B132" s="528" t="s">
        <v>866</v>
      </c>
      <c r="C132" s="529">
        <f>C42+C51+20*30</f>
        <v>9350</v>
      </c>
      <c r="D132" s="527"/>
      <c r="E132" s="382"/>
      <c r="F132" s="382"/>
      <c r="G132" s="382"/>
      <c r="H132" s="382"/>
      <c r="I132" s="382"/>
    </row>
    <row r="133" spans="2:9" ht="17.5" thickBot="1" x14ac:dyDescent="0.4">
      <c r="B133" s="525" t="s">
        <v>867</v>
      </c>
      <c r="C133" s="526" t="e">
        <f>SUM(C19:C28)</f>
        <v>#N/A</v>
      </c>
      <c r="D133" s="527"/>
      <c r="E133" s="382"/>
      <c r="F133" s="382"/>
      <c r="G133" s="382"/>
      <c r="H133" s="382"/>
      <c r="I133" s="382"/>
    </row>
    <row r="134" spans="2:9" ht="17.5" thickBot="1" x14ac:dyDescent="0.4">
      <c r="B134" s="528" t="s">
        <v>868</v>
      </c>
      <c r="C134" s="529" t="e">
        <f>SUM(C94:C98)</f>
        <v>#N/A</v>
      </c>
      <c r="D134" s="527"/>
      <c r="E134" s="382"/>
      <c r="F134" s="382"/>
      <c r="G134" s="382"/>
      <c r="H134" s="382"/>
      <c r="I134" s="382"/>
    </row>
    <row r="135" spans="2:9" ht="17.5" thickBot="1" x14ac:dyDescent="0.4">
      <c r="B135" s="525" t="s">
        <v>869</v>
      </c>
      <c r="C135" s="526" t="e">
        <f>C113</f>
        <v>#N/A</v>
      </c>
      <c r="D135" s="527"/>
      <c r="E135" s="382"/>
      <c r="F135" s="382"/>
      <c r="G135" s="382"/>
      <c r="H135" s="382"/>
      <c r="I135" s="382"/>
    </row>
    <row r="136" spans="2:9" ht="15" thickBot="1" x14ac:dyDescent="0.4">
      <c r="B136" s="382"/>
      <c r="D136" s="527"/>
      <c r="E136" s="382"/>
      <c r="F136" s="382"/>
      <c r="G136" s="382"/>
      <c r="I136" s="382"/>
    </row>
    <row r="137" spans="2:9" ht="17.5" thickBot="1" x14ac:dyDescent="0.4">
      <c r="B137" s="520" t="s">
        <v>870</v>
      </c>
      <c r="C137" s="521" t="s">
        <v>815</v>
      </c>
      <c r="D137" s="527"/>
      <c r="E137" s="382"/>
      <c r="F137" s="382"/>
      <c r="G137" s="382"/>
    </row>
    <row r="138" spans="2:9" ht="18" thickTop="1" thickBot="1" x14ac:dyDescent="0.4">
      <c r="B138" s="530" t="s">
        <v>871</v>
      </c>
      <c r="C138" s="531"/>
      <c r="D138" s="527"/>
      <c r="E138" s="382"/>
      <c r="F138" s="382"/>
      <c r="G138" s="382"/>
    </row>
    <row r="139" spans="2:9" ht="18" thickTop="1" thickBot="1" x14ac:dyDescent="0.4">
      <c r="B139" s="532" t="s">
        <v>872</v>
      </c>
      <c r="C139" s="533" t="e">
        <f>F29</f>
        <v>#N/A</v>
      </c>
      <c r="D139" s="522" t="e">
        <f>(C139+C140)/80000</f>
        <v>#N/A</v>
      </c>
      <c r="E139" s="382"/>
      <c r="F139" s="382"/>
      <c r="G139" s="382"/>
      <c r="H139" s="382"/>
    </row>
    <row r="140" spans="2:9" ht="17.5" thickBot="1" x14ac:dyDescent="0.4">
      <c r="B140" s="525" t="s">
        <v>873</v>
      </c>
      <c r="C140" s="534" t="e">
        <f>#REF!</f>
        <v>#REF!</v>
      </c>
      <c r="D140" s="527"/>
      <c r="E140" s="382" t="e">
        <f>C140+C139</f>
        <v>#REF!</v>
      </c>
      <c r="F140" s="382"/>
      <c r="G140" s="382"/>
      <c r="H140" s="382"/>
    </row>
    <row r="141" spans="2:9" ht="17.5" thickBot="1" x14ac:dyDescent="0.4">
      <c r="B141" s="535" t="s">
        <v>874</v>
      </c>
      <c r="C141" s="536" t="e">
        <f>H91</f>
        <v>#N/A</v>
      </c>
      <c r="D141" s="527"/>
      <c r="E141" s="382"/>
      <c r="F141" s="382"/>
      <c r="G141" s="382"/>
      <c r="H141" s="382"/>
    </row>
    <row r="142" spans="2:9" ht="17.5" thickBot="1" x14ac:dyDescent="0.4">
      <c r="B142" s="525" t="s">
        <v>875</v>
      </c>
      <c r="C142" s="537" t="e">
        <f>F100</f>
        <v>#N/A</v>
      </c>
      <c r="D142" s="527"/>
      <c r="E142" s="382"/>
      <c r="F142" s="382"/>
      <c r="G142" s="382"/>
      <c r="H142" s="382"/>
    </row>
    <row r="143" spans="2:9" ht="17.5" thickBot="1" x14ac:dyDescent="0.4">
      <c r="B143" s="528" t="s">
        <v>876</v>
      </c>
      <c r="C143" s="538" t="e">
        <f>F107</f>
        <v>#N/A</v>
      </c>
      <c r="D143" s="527"/>
      <c r="E143" s="382"/>
      <c r="F143" s="382"/>
      <c r="G143" s="382"/>
      <c r="H143" s="382"/>
    </row>
    <row r="144" spans="2:9" ht="17.5" thickBot="1" x14ac:dyDescent="0.4">
      <c r="B144" s="525" t="s">
        <v>877</v>
      </c>
      <c r="C144" s="534" t="e">
        <f>F116</f>
        <v>#N/A</v>
      </c>
      <c r="D144" s="527"/>
      <c r="E144" s="382" t="e">
        <f>C142+C143+C144</f>
        <v>#N/A</v>
      </c>
      <c r="F144" s="382"/>
      <c r="G144" s="382"/>
      <c r="H144" s="382"/>
    </row>
    <row r="145" spans="2:8" ht="17.5" thickBot="1" x14ac:dyDescent="0.4">
      <c r="B145" s="535" t="s">
        <v>878</v>
      </c>
      <c r="C145" s="536" t="e">
        <f>G100+G107+G116</f>
        <v>#N/A</v>
      </c>
      <c r="D145" s="539" t="e">
        <f>C146+C145+C141</f>
        <v>#N/A</v>
      </c>
      <c r="E145" s="417" t="e">
        <f>E144/C10</f>
        <v>#N/A</v>
      </c>
      <c r="F145" s="382"/>
      <c r="G145" s="382"/>
      <c r="H145" s="382"/>
    </row>
    <row r="146" spans="2:8" ht="17.5" thickBot="1" x14ac:dyDescent="0.4">
      <c r="B146" s="540" t="s">
        <v>879</v>
      </c>
      <c r="C146" s="541" t="e">
        <f>G118</f>
        <v>#N/A</v>
      </c>
    </row>
    <row r="147" spans="2:8" ht="17.5" thickBot="1" x14ac:dyDescent="0.4">
      <c r="B147" s="535" t="s">
        <v>880</v>
      </c>
      <c r="C147" s="536">
        <f>C5</f>
        <v>0</v>
      </c>
      <c r="E147" s="394" t="e">
        <f>C147+C149-E145</f>
        <v>#N/A</v>
      </c>
    </row>
    <row r="148" spans="2:8" ht="17.5" thickBot="1" x14ac:dyDescent="0.4">
      <c r="B148" s="530" t="s">
        <v>881</v>
      </c>
      <c r="C148" s="531"/>
    </row>
    <row r="149" spans="2:8" ht="17.5" thickBot="1" x14ac:dyDescent="0.4">
      <c r="B149" s="535" t="s">
        <v>882</v>
      </c>
      <c r="C149" s="536" t="e">
        <f>C127-C5</f>
        <v>#N/A</v>
      </c>
    </row>
    <row r="150" spans="2:8" ht="34.5" thickBot="1" x14ac:dyDescent="0.4">
      <c r="B150" s="540" t="s">
        <v>883</v>
      </c>
      <c r="C150" s="542" t="e">
        <f>C147+C149-C141-C145-C146</f>
        <v>#N/A</v>
      </c>
    </row>
    <row r="151" spans="2:8" ht="15" thickBot="1" x14ac:dyDescent="0.4"/>
    <row r="152" spans="2:8" ht="17.5" thickBot="1" x14ac:dyDescent="0.4">
      <c r="B152" s="520" t="s">
        <v>884</v>
      </c>
      <c r="C152" s="521" t="s">
        <v>815</v>
      </c>
    </row>
    <row r="153" spans="2:8" ht="18" thickTop="1" thickBot="1" x14ac:dyDescent="0.4">
      <c r="B153" s="525" t="s">
        <v>885</v>
      </c>
      <c r="C153" s="526" t="e">
        <f>C130</f>
        <v>#N/A</v>
      </c>
    </row>
    <row r="154" spans="2:8" ht="17.5" thickBot="1" x14ac:dyDescent="0.4">
      <c r="B154" s="525" t="s">
        <v>865</v>
      </c>
      <c r="C154" s="526" t="e">
        <f>C131</f>
        <v>#REF!</v>
      </c>
    </row>
    <row r="155" spans="2:8" ht="17.5" thickBot="1" x14ac:dyDescent="0.4">
      <c r="B155" s="525" t="s">
        <v>867</v>
      </c>
      <c r="C155" s="526" t="e">
        <f>SUM(C91:C97)</f>
        <v>#N/A</v>
      </c>
    </row>
    <row r="156" spans="2:8" ht="17.5" thickBot="1" x14ac:dyDescent="0.4">
      <c r="B156" s="525" t="s">
        <v>868</v>
      </c>
      <c r="C156" s="526" t="e">
        <f>C134</f>
        <v>#N/A</v>
      </c>
    </row>
    <row r="157" spans="2:8" ht="17.5" thickBot="1" x14ac:dyDescent="0.4">
      <c r="B157" s="525" t="s">
        <v>869</v>
      </c>
      <c r="C157" s="526" t="e">
        <f>C135</f>
        <v>#N/A</v>
      </c>
    </row>
    <row r="158" spans="2:8" ht="17.5" thickBot="1" x14ac:dyDescent="0.4">
      <c r="B158" s="520" t="s">
        <v>886</v>
      </c>
      <c r="C158" s="521" t="s">
        <v>815</v>
      </c>
    </row>
    <row r="159" spans="2:8" ht="18" thickTop="1" thickBot="1" x14ac:dyDescent="0.4">
      <c r="B159" s="530" t="s">
        <v>871</v>
      </c>
      <c r="C159" s="531"/>
    </row>
    <row r="160" spans="2:8" ht="17.5" thickBot="1" x14ac:dyDescent="0.4">
      <c r="B160" s="525" t="s">
        <v>887</v>
      </c>
      <c r="C160" s="543" t="e">
        <f>C139+C140</f>
        <v>#N/A</v>
      </c>
    </row>
    <row r="161" spans="2:3" ht="34.5" thickBot="1" x14ac:dyDescent="0.4">
      <c r="B161" s="525" t="s">
        <v>888</v>
      </c>
      <c r="C161" s="537" t="e">
        <f>C142+C143+C144</f>
        <v>#N/A</v>
      </c>
    </row>
    <row r="162" spans="2:3" ht="17.5" thickBot="1" x14ac:dyDescent="0.4">
      <c r="B162" s="530" t="s">
        <v>881</v>
      </c>
      <c r="C162" s="526"/>
    </row>
    <row r="163" spans="2:3" ht="17.5" thickBot="1" x14ac:dyDescent="0.4">
      <c r="B163" s="540" t="s">
        <v>889</v>
      </c>
      <c r="C163" s="544" t="e">
        <f>C124</f>
        <v>#N/A</v>
      </c>
    </row>
    <row r="164" spans="2:3" ht="17.5" thickBot="1" x14ac:dyDescent="0.4">
      <c r="B164" s="526" t="s">
        <v>890</v>
      </c>
      <c r="C164" s="543" t="e">
        <f>C126</f>
        <v>#N/A</v>
      </c>
    </row>
    <row r="165" spans="2:3" ht="17.5" thickBot="1" x14ac:dyDescent="0.4">
      <c r="B165" s="526" t="s">
        <v>891</v>
      </c>
      <c r="C165" s="543" t="e">
        <f>C163+C164</f>
        <v>#N/A</v>
      </c>
    </row>
    <row r="166" spans="2:3" ht="17.5" thickBot="1" x14ac:dyDescent="0.4">
      <c r="B166" s="540" t="s">
        <v>892</v>
      </c>
      <c r="C166" s="542" t="e">
        <f>C150</f>
        <v>#N/A</v>
      </c>
    </row>
  </sheetData>
  <mergeCells count="5">
    <mergeCell ref="G3:J3"/>
    <mergeCell ref="L30:M30"/>
    <mergeCell ref="L46:M46"/>
    <mergeCell ref="L57:M57"/>
    <mergeCell ref="L62:M62"/>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07A43-C208-4B81-909E-6B567919EC0D}">
  <sheetPr>
    <tabColor theme="9" tint="0.499984740745262"/>
  </sheetPr>
  <dimension ref="A2:P142"/>
  <sheetViews>
    <sheetView workbookViewId="0">
      <selection activeCell="C5" sqref="C5:F5"/>
    </sheetView>
  </sheetViews>
  <sheetFormatPr defaultColWidth="8.81640625" defaultRowHeight="14.5" x14ac:dyDescent="0.35"/>
  <cols>
    <col min="1" max="1" width="5.1796875" customWidth="1"/>
    <col min="2" max="2" width="46.453125" customWidth="1"/>
    <col min="3" max="3" width="14.1796875" customWidth="1"/>
    <col min="4" max="4" width="10.7265625" customWidth="1"/>
    <col min="5" max="5" width="14" customWidth="1"/>
    <col min="6" max="6" width="16.1796875" bestFit="1" customWidth="1"/>
    <col min="7" max="7" width="11.453125" customWidth="1"/>
    <col min="8" max="8" width="14" customWidth="1"/>
    <col min="9" max="9" width="10" customWidth="1"/>
    <col min="10" max="10" width="8.1796875" customWidth="1"/>
    <col min="11" max="11" width="13.453125" customWidth="1"/>
    <col min="12" max="12" width="25.26953125" customWidth="1"/>
    <col min="13" max="13" width="18" customWidth="1"/>
    <col min="14" max="14" width="11.453125" customWidth="1"/>
    <col min="15" max="15" width="12.453125" customWidth="1"/>
    <col min="17" max="17" width="8.81640625" customWidth="1"/>
    <col min="20" max="21" width="8.81640625" customWidth="1"/>
    <col min="23" max="23" width="8.81640625" customWidth="1"/>
  </cols>
  <sheetData>
    <row r="2" spans="2:12" x14ac:dyDescent="0.35">
      <c r="B2" s="387"/>
    </row>
    <row r="3" spans="2:12" ht="24" thickBot="1" x14ac:dyDescent="0.6">
      <c r="B3" s="390" t="s">
        <v>893</v>
      </c>
      <c r="E3" s="391" t="s">
        <v>635</v>
      </c>
      <c r="F3" s="391"/>
      <c r="H3" s="391"/>
      <c r="I3" s="391" t="s">
        <v>894</v>
      </c>
      <c r="J3" s="391"/>
      <c r="K3" s="391"/>
    </row>
    <row r="4" spans="2:12" ht="15" thickTop="1" x14ac:dyDescent="0.35">
      <c r="B4" s="392" t="s">
        <v>638</v>
      </c>
      <c r="C4" s="545"/>
      <c r="E4" s="387" t="s">
        <v>639</v>
      </c>
      <c r="F4" s="394" t="e">
        <f>H67</f>
        <v>#N/A</v>
      </c>
      <c r="H4" s="387" t="s">
        <v>640</v>
      </c>
      <c r="I4" s="383" t="s">
        <v>544</v>
      </c>
      <c r="J4" s="383" t="s">
        <v>641</v>
      </c>
      <c r="K4" s="383" t="s">
        <v>642</v>
      </c>
    </row>
    <row r="5" spans="2:12" x14ac:dyDescent="0.35">
      <c r="B5" s="392" t="s">
        <v>644</v>
      </c>
      <c r="C5" s="714">
        <f>-Input!E38</f>
        <v>0</v>
      </c>
      <c r="E5" s="387" t="s">
        <v>547</v>
      </c>
      <c r="F5" s="394" t="e">
        <f>F96-H67</f>
        <v>#N/A</v>
      </c>
      <c r="H5" s="546" t="s">
        <v>895</v>
      </c>
      <c r="I5" s="568" t="e">
        <f>TonnageImpacts!M13-'Windrow Model_YW'!I6</f>
        <v>#N/A</v>
      </c>
      <c r="J5" s="382">
        <v>750</v>
      </c>
      <c r="K5" s="382" t="e">
        <f>I5/J5*2000</f>
        <v>#N/A</v>
      </c>
    </row>
    <row r="6" spans="2:12" ht="15" thickBot="1" x14ac:dyDescent="0.4">
      <c r="B6" s="392" t="s">
        <v>648</v>
      </c>
      <c r="C6" s="608">
        <f>AssumptionTables!C65</f>
        <v>13</v>
      </c>
      <c r="E6" s="399" t="s">
        <v>73</v>
      </c>
      <c r="F6" s="400" t="e">
        <f>F4+F5</f>
        <v>#N/A</v>
      </c>
      <c r="H6" s="546" t="s">
        <v>645</v>
      </c>
      <c r="I6" s="568">
        <v>0</v>
      </c>
      <c r="J6" s="382">
        <v>1500</v>
      </c>
      <c r="K6" s="382">
        <f>I6/J6*2000</f>
        <v>0</v>
      </c>
    </row>
    <row r="7" spans="2:12" ht="15" thickTop="1" x14ac:dyDescent="0.35">
      <c r="B7" s="392" t="s">
        <v>651</v>
      </c>
      <c r="C7" s="547"/>
      <c r="E7" s="387" t="s">
        <v>437</v>
      </c>
      <c r="F7" s="394" t="e">
        <f>C103</f>
        <v>#N/A</v>
      </c>
      <c r="H7" s="395" t="s">
        <v>652</v>
      </c>
      <c r="I7" s="405" t="e">
        <f>SUM(I5:I6)</f>
        <v>#N/A</v>
      </c>
      <c r="J7" s="406"/>
      <c r="K7" s="405" t="e">
        <f>SUM(K5:K6)</f>
        <v>#N/A</v>
      </c>
    </row>
    <row r="8" spans="2:12" ht="15" thickBot="1" x14ac:dyDescent="0.4">
      <c r="B8" s="392" t="s">
        <v>896</v>
      </c>
      <c r="C8" s="547">
        <v>0</v>
      </c>
      <c r="E8" s="399" t="s">
        <v>655</v>
      </c>
      <c r="F8" s="400" t="e">
        <f>F7-F6</f>
        <v>#N/A</v>
      </c>
      <c r="H8" s="387" t="s">
        <v>897</v>
      </c>
      <c r="J8" s="479">
        <v>0.9</v>
      </c>
      <c r="K8" s="437" t="e">
        <f>J8*K7</f>
        <v>#N/A</v>
      </c>
    </row>
    <row r="9" spans="2:12" ht="15" thickTop="1" x14ac:dyDescent="0.35">
      <c r="B9" s="392" t="s">
        <v>654</v>
      </c>
      <c r="C9" s="393">
        <v>0</v>
      </c>
      <c r="H9" s="387" t="s">
        <v>898</v>
      </c>
      <c r="J9" s="479">
        <v>0.75</v>
      </c>
      <c r="K9" s="437" t="e">
        <f>J9*K8</f>
        <v>#N/A</v>
      </c>
    </row>
    <row r="10" spans="2:12" x14ac:dyDescent="0.35">
      <c r="B10" s="392" t="s">
        <v>661</v>
      </c>
      <c r="C10" s="609" t="e">
        <f>I7</f>
        <v>#N/A</v>
      </c>
      <c r="D10" s="479"/>
      <c r="E10" s="387" t="s">
        <v>662</v>
      </c>
      <c r="F10" s="394" t="e">
        <f>C101/C15</f>
        <v>#N/A</v>
      </c>
      <c r="H10" s="387" t="s">
        <v>899</v>
      </c>
      <c r="I10" s="413" t="s">
        <v>900</v>
      </c>
      <c r="J10">
        <v>12</v>
      </c>
      <c r="K10" s="437" t="e">
        <f>K9*J10/12</f>
        <v>#N/A</v>
      </c>
    </row>
    <row r="11" spans="2:12" x14ac:dyDescent="0.35">
      <c r="B11" s="392" t="s">
        <v>666</v>
      </c>
      <c r="C11" s="607">
        <v>0</v>
      </c>
      <c r="E11" s="387" t="s">
        <v>667</v>
      </c>
      <c r="F11" s="417">
        <f>C7</f>
        <v>0</v>
      </c>
      <c r="H11" s="548" t="s">
        <v>901</v>
      </c>
    </row>
    <row r="12" spans="2:12" ht="15" thickBot="1" x14ac:dyDescent="0.4">
      <c r="B12" s="392" t="s">
        <v>670</v>
      </c>
      <c r="C12" s="549">
        <v>1</v>
      </c>
      <c r="E12" s="399" t="s">
        <v>73</v>
      </c>
      <c r="F12" s="400" t="e">
        <f>F8+F10+F11</f>
        <v>#N/A</v>
      </c>
      <c r="H12" s="550" t="s">
        <v>902</v>
      </c>
      <c r="I12">
        <v>16</v>
      </c>
      <c r="J12" t="s">
        <v>903</v>
      </c>
    </row>
    <row r="13" spans="2:12" ht="15" thickTop="1" x14ac:dyDescent="0.35">
      <c r="B13" s="392" t="s">
        <v>674</v>
      </c>
      <c r="C13" s="549">
        <v>0</v>
      </c>
      <c r="H13" s="551" t="s">
        <v>904</v>
      </c>
      <c r="I13">
        <v>8</v>
      </c>
      <c r="J13" t="s">
        <v>903</v>
      </c>
    </row>
    <row r="14" spans="2:12" ht="15" thickBot="1" x14ac:dyDescent="0.4">
      <c r="B14" s="392" t="s">
        <v>412</v>
      </c>
      <c r="C14" s="606">
        <f>Interest_Rate</f>
        <v>0.03</v>
      </c>
      <c r="E14" s="399" t="s">
        <v>905</v>
      </c>
      <c r="F14" s="421" t="e">
        <f>F12*C10</f>
        <v>#N/A</v>
      </c>
      <c r="H14" s="551" t="s">
        <v>906</v>
      </c>
      <c r="I14">
        <v>400</v>
      </c>
      <c r="J14" t="s">
        <v>903</v>
      </c>
    </row>
    <row r="15" spans="2:12" ht="15" thickTop="1" x14ac:dyDescent="0.35">
      <c r="B15" s="392" t="s">
        <v>907</v>
      </c>
      <c r="C15" s="418" t="e">
        <f>I7</f>
        <v>#N/A</v>
      </c>
      <c r="E15" s="423"/>
      <c r="F15" s="424"/>
      <c r="H15" t="s">
        <v>908</v>
      </c>
      <c r="I15" s="382">
        <f>I12*I13*I14</f>
        <v>51200</v>
      </c>
      <c r="J15" t="s">
        <v>909</v>
      </c>
      <c r="K15" s="382">
        <f>I15/27</f>
        <v>1896.2962962962963</v>
      </c>
      <c r="L15" t="s">
        <v>1022</v>
      </c>
    </row>
    <row r="16" spans="2:12" x14ac:dyDescent="0.35">
      <c r="B16" s="392"/>
      <c r="C16" s="418"/>
      <c r="E16" s="552"/>
      <c r="F16" s="553"/>
      <c r="H16" t="s">
        <v>910</v>
      </c>
      <c r="I16" s="568">
        <f>(I12+20)*(I14+10)</f>
        <v>14760</v>
      </c>
      <c r="J16" t="s">
        <v>647</v>
      </c>
      <c r="K16" s="382"/>
    </row>
    <row r="17" spans="1:14" x14ac:dyDescent="0.35">
      <c r="B17" s="392"/>
      <c r="C17" s="418"/>
      <c r="E17" s="552"/>
      <c r="F17" s="553"/>
      <c r="H17" s="387" t="s">
        <v>911</v>
      </c>
      <c r="I17" s="382" t="e">
        <f>K10/K15</f>
        <v>#N/A</v>
      </c>
      <c r="J17" t="s">
        <v>692</v>
      </c>
      <c r="K17" s="382"/>
    </row>
    <row r="18" spans="1:14" x14ac:dyDescent="0.35">
      <c r="B18" s="392"/>
      <c r="C18" s="418"/>
      <c r="E18" s="552"/>
      <c r="F18" s="553"/>
      <c r="H18" t="s">
        <v>912</v>
      </c>
      <c r="I18" s="382" t="e">
        <f>I17*I16</f>
        <v>#N/A</v>
      </c>
      <c r="J18" t="s">
        <v>647</v>
      </c>
      <c r="K18" s="554" t="e">
        <f>I18/43560</f>
        <v>#N/A</v>
      </c>
    </row>
    <row r="19" spans="1:14" x14ac:dyDescent="0.35">
      <c r="B19" s="392"/>
      <c r="C19" s="418"/>
      <c r="E19" s="552"/>
      <c r="F19" s="553"/>
      <c r="H19" s="563" t="s">
        <v>1023</v>
      </c>
      <c r="I19" s="699" t="e">
        <f>C34</f>
        <v>#N/A</v>
      </c>
      <c r="J19" s="563" t="s">
        <v>718</v>
      </c>
    </row>
    <row r="21" spans="1:14" ht="20" thickBot="1" x14ac:dyDescent="0.5">
      <c r="B21" s="426" t="s">
        <v>913</v>
      </c>
      <c r="C21" s="426"/>
      <c r="D21" s="426"/>
      <c r="E21" s="426"/>
      <c r="F21" s="426"/>
      <c r="G21" s="426"/>
      <c r="H21" s="426"/>
    </row>
    <row r="22" spans="1:14" ht="30.5" thickTop="1" thickBot="1" x14ac:dyDescent="0.45">
      <c r="B22" s="391" t="s">
        <v>685</v>
      </c>
      <c r="C22" s="555" t="s">
        <v>686</v>
      </c>
      <c r="D22" s="555" t="s">
        <v>687</v>
      </c>
      <c r="E22" s="555" t="s">
        <v>688</v>
      </c>
      <c r="F22" s="555" t="s">
        <v>548</v>
      </c>
      <c r="G22" s="432" t="s">
        <v>689</v>
      </c>
      <c r="H22" s="556" t="s">
        <v>690</v>
      </c>
    </row>
    <row r="23" spans="1:14" ht="15" thickTop="1" x14ac:dyDescent="0.35">
      <c r="A23" t="s">
        <v>490</v>
      </c>
      <c r="B23" t="s">
        <v>915</v>
      </c>
      <c r="C23" s="568" t="e">
        <f>IF(K7&gt;50000,2,1)</f>
        <v>#N/A</v>
      </c>
      <c r="D23" s="387" t="s">
        <v>692</v>
      </c>
      <c r="E23" s="443">
        <v>165000</v>
      </c>
      <c r="F23" s="434" t="e">
        <f>IF(A23="x",C23*E23,0)</f>
        <v>#N/A</v>
      </c>
      <c r="G23" s="382">
        <f>Rolling_Stock_Amortisation</f>
        <v>8</v>
      </c>
      <c r="H23" s="434" t="e">
        <f>PMT($C$14, G23, -F23)</f>
        <v>#N/A</v>
      </c>
      <c r="I23" t="s">
        <v>916</v>
      </c>
    </row>
    <row r="24" spans="1:14" x14ac:dyDescent="0.35">
      <c r="A24" t="s">
        <v>490</v>
      </c>
      <c r="B24" t="s">
        <v>1026</v>
      </c>
      <c r="C24" s="438">
        <v>1</v>
      </c>
      <c r="D24" s="387" t="s">
        <v>692</v>
      </c>
      <c r="E24" s="443">
        <v>40000</v>
      </c>
      <c r="F24" s="443">
        <f t="shared" ref="F24:F30" si="0">IF(A24="x",C24*E24,0)</f>
        <v>40000</v>
      </c>
      <c r="G24" s="438">
        <f>Rolling_Stock_Amortisation</f>
        <v>8</v>
      </c>
      <c r="H24" s="443">
        <f t="shared" ref="H24:H30" si="1">PMT($C$14, G24, -F24)</f>
        <v>5698.255553089567</v>
      </c>
      <c r="I24" s="563" t="s">
        <v>1027</v>
      </c>
    </row>
    <row r="25" spans="1:14" x14ac:dyDescent="0.35">
      <c r="A25" t="s">
        <v>490</v>
      </c>
      <c r="B25" t="s">
        <v>1031</v>
      </c>
      <c r="C25" s="382">
        <v>1</v>
      </c>
      <c r="D25" s="387" t="s">
        <v>692</v>
      </c>
      <c r="E25" s="700">
        <f>62500*2</f>
        <v>125000</v>
      </c>
      <c r="F25" s="434">
        <f>IF(A25="x",C25*E25,0)</f>
        <v>125000</v>
      </c>
      <c r="G25" s="382">
        <f>Equipment_Amortisation</f>
        <v>10</v>
      </c>
      <c r="H25" s="434">
        <f>PMT($C$14, G25, -F25)</f>
        <v>14653.813325644947</v>
      </c>
      <c r="I25" s="563" t="s">
        <v>1028</v>
      </c>
    </row>
    <row r="26" spans="1:14" x14ac:dyDescent="0.35">
      <c r="A26" t="s">
        <v>490</v>
      </c>
      <c r="B26" t="s">
        <v>917</v>
      </c>
      <c r="C26" s="382">
        <v>1</v>
      </c>
      <c r="D26" s="387" t="s">
        <v>692</v>
      </c>
      <c r="E26" s="700" t="e">
        <f>IF('Compost Equip'!J8&gt;10,'Compost Equip'!J4,IF('Compost Equip'!I8&gt;10,'Compost Equip'!I4,IF('Compost Equip'!H8&gt;10,'Compost Equip'!H4,IF('Compost Equip'!G8&gt;10,'Compost Equip'!G4,IF('Compost Equip'!F8&gt;10,'Compost Equip'!F4,IF('Compost Equip'!E8&gt;10,'Compost Equip'!E4,IF('Compost Equip'!D8&gt;10,'Compost Equip'!D4,'Compost Equip'!C4)))))))</f>
        <v>#N/A</v>
      </c>
      <c r="F26" s="434" t="e">
        <f t="shared" si="0"/>
        <v>#N/A</v>
      </c>
      <c r="G26" s="382">
        <f>Equipment_Amortisation</f>
        <v>10</v>
      </c>
      <c r="H26" s="434" t="e">
        <f t="shared" si="1"/>
        <v>#N/A</v>
      </c>
      <c r="I26" t="s">
        <v>699</v>
      </c>
    </row>
    <row r="27" spans="1:14" x14ac:dyDescent="0.35">
      <c r="A27" t="s">
        <v>490</v>
      </c>
      <c r="B27" t="s">
        <v>702</v>
      </c>
      <c r="C27" s="382">
        <v>1</v>
      </c>
      <c r="D27" s="387" t="s">
        <v>692</v>
      </c>
      <c r="E27" s="700" t="e">
        <f>IF('Compost Equip'!J20&gt;20,'Compost Equip'!J16,IF('Compost Equip'!I20&gt;20,'Compost Equip'!I16,IF('Compost Equip'!H20&gt;20,'Compost Equip'!H16,IF('Compost Equip'!G20&gt;20,'Compost Equip'!G16,IF('Compost Equip'!F20&gt;20,'Compost Equip'!F16,IF('Compost Equip'!E20&gt;20,'Compost Equip'!E16,IF('Compost Equip'!D20&gt;20,'Compost Equip'!D16,'Compost Equip'!C16)))))))</f>
        <v>#N/A</v>
      </c>
      <c r="F27" s="434" t="e">
        <f t="shared" si="0"/>
        <v>#N/A</v>
      </c>
      <c r="G27" s="382">
        <f>Equipment_Amortisation</f>
        <v>10</v>
      </c>
      <c r="H27" s="434" t="e">
        <f t="shared" si="1"/>
        <v>#N/A</v>
      </c>
      <c r="I27" t="s">
        <v>918</v>
      </c>
    </row>
    <row r="28" spans="1:14" x14ac:dyDescent="0.35">
      <c r="B28" s="19" t="s">
        <v>919</v>
      </c>
      <c r="C28" s="382">
        <v>1</v>
      </c>
      <c r="D28" s="387" t="s">
        <v>692</v>
      </c>
      <c r="E28" s="434">
        <v>50000</v>
      </c>
      <c r="F28" s="434">
        <f t="shared" si="0"/>
        <v>0</v>
      </c>
      <c r="G28" s="382">
        <f>Rolling_Stock_Amortisation</f>
        <v>8</v>
      </c>
      <c r="H28" s="434">
        <f>PMT($C$14, G28, -F28)</f>
        <v>0</v>
      </c>
      <c r="I28" t="s">
        <v>705</v>
      </c>
    </row>
    <row r="29" spans="1:14" x14ac:dyDescent="0.35">
      <c r="A29" t="s">
        <v>490</v>
      </c>
      <c r="B29" t="s">
        <v>920</v>
      </c>
      <c r="C29" s="382">
        <v>1</v>
      </c>
      <c r="D29" s="387" t="s">
        <v>692</v>
      </c>
      <c r="E29" s="441">
        <v>40000</v>
      </c>
      <c r="F29" s="434">
        <f t="shared" si="0"/>
        <v>40000</v>
      </c>
      <c r="G29" s="382">
        <f>Rolling_Stock_Amortisation</f>
        <v>8</v>
      </c>
      <c r="H29" s="434">
        <f t="shared" si="1"/>
        <v>5698.255553089567</v>
      </c>
      <c r="I29" t="s">
        <v>707</v>
      </c>
    </row>
    <row r="30" spans="1:14" x14ac:dyDescent="0.35">
      <c r="A30" t="s">
        <v>490</v>
      </c>
      <c r="B30" t="s">
        <v>921</v>
      </c>
      <c r="C30" s="382">
        <v>1</v>
      </c>
      <c r="D30" s="387" t="s">
        <v>692</v>
      </c>
      <c r="E30" s="557">
        <v>60000</v>
      </c>
      <c r="F30" s="434">
        <f t="shared" si="0"/>
        <v>60000</v>
      </c>
      <c r="G30" s="382">
        <f>Equipment_Amortisation</f>
        <v>10</v>
      </c>
      <c r="H30" s="434">
        <f t="shared" si="1"/>
        <v>7033.830396309575</v>
      </c>
      <c r="I30" t="s">
        <v>922</v>
      </c>
    </row>
    <row r="31" spans="1:14" ht="15" thickBot="1" x14ac:dyDescent="0.4">
      <c r="C31" s="382"/>
      <c r="E31" s="421" t="s">
        <v>711</v>
      </c>
      <c r="F31" s="444" t="e">
        <f>SUM(F24:F30)</f>
        <v>#N/A</v>
      </c>
      <c r="G31" s="421" t="s">
        <v>711</v>
      </c>
      <c r="H31" s="444" t="e">
        <f>SUM(H24:H30)</f>
        <v>#N/A</v>
      </c>
    </row>
    <row r="32" spans="1:14" ht="18" thickTop="1" thickBot="1" x14ac:dyDescent="0.45">
      <c r="B32" s="391" t="s">
        <v>712</v>
      </c>
      <c r="C32" s="391"/>
      <c r="D32" s="391"/>
      <c r="E32" s="503"/>
      <c r="F32" s="503"/>
      <c r="G32" s="503"/>
      <c r="H32" s="503"/>
      <c r="L32" t="s">
        <v>962</v>
      </c>
      <c r="M32" s="689">
        <v>0.5</v>
      </c>
      <c r="N32" s="406"/>
    </row>
    <row r="33" spans="1:16" ht="17.5" thickTop="1" x14ac:dyDescent="0.4">
      <c r="B33" s="701" t="s">
        <v>714</v>
      </c>
      <c r="C33" s="687"/>
      <c r="D33" s="687"/>
      <c r="E33" s="688"/>
      <c r="F33" s="688"/>
      <c r="G33" s="688"/>
      <c r="H33" s="688"/>
      <c r="L33" t="s">
        <v>985</v>
      </c>
      <c r="M33" s="437" t="e">
        <f>I7/26</f>
        <v>#N/A</v>
      </c>
      <c r="N33" t="s">
        <v>986</v>
      </c>
    </row>
    <row r="34" spans="1:16" s="406" customFormat="1" x14ac:dyDescent="0.35">
      <c r="A34" t="s">
        <v>490</v>
      </c>
      <c r="B34" t="s">
        <v>717</v>
      </c>
      <c r="C34" s="702" t="e">
        <f>ROUND(C36+(C40/43560),1)</f>
        <v>#N/A</v>
      </c>
      <c r="D34" t="s">
        <v>718</v>
      </c>
      <c r="E34" s="703">
        <v>1500</v>
      </c>
      <c r="F34" s="704" t="e">
        <f>IF(A34="x",C34*E34,0)</f>
        <v>#N/A</v>
      </c>
      <c r="G34" s="705">
        <f t="shared" ref="G34:G39" si="2">Building_Cost_Amortisation</f>
        <v>20</v>
      </c>
      <c r="H34" s="704" t="e">
        <f>PMT($C$14, G34, -F34)</f>
        <v>#N/A</v>
      </c>
      <c r="I34" s="437"/>
      <c r="L34" t="s">
        <v>985</v>
      </c>
      <c r="M34" s="437" t="e">
        <f>K7/26</f>
        <v>#N/A</v>
      </c>
      <c r="N34" t="s">
        <v>677</v>
      </c>
      <c r="O34"/>
      <c r="P34"/>
    </row>
    <row r="35" spans="1:16" s="406" customFormat="1" x14ac:dyDescent="0.35">
      <c r="A35" t="s">
        <v>490</v>
      </c>
      <c r="B35" t="s">
        <v>721</v>
      </c>
      <c r="C35" s="705" t="e">
        <f>I19</f>
        <v>#N/A</v>
      </c>
      <c r="D35" t="s">
        <v>1019</v>
      </c>
      <c r="E35" s="703">
        <v>2500</v>
      </c>
      <c r="F35" s="704" t="e">
        <f>IF(A35="x",C35*E35,0)</f>
        <v>#N/A</v>
      </c>
      <c r="G35" s="705">
        <f t="shared" si="2"/>
        <v>20</v>
      </c>
      <c r="H35" s="704" t="e">
        <f t="shared" ref="H35" si="3">PMT($C$14, G35, -F35)</f>
        <v>#N/A</v>
      </c>
      <c r="I35" s="437"/>
      <c r="L35" t="s">
        <v>987</v>
      </c>
      <c r="M35" s="437">
        <f>'ASP Model_YW+FW'!M92</f>
        <v>441.11111111111114</v>
      </c>
      <c r="N35" t="s">
        <v>986</v>
      </c>
      <c r="O35"/>
      <c r="P35"/>
    </row>
    <row r="36" spans="1:16" s="406" customFormat="1" x14ac:dyDescent="0.35">
      <c r="A36" t="s">
        <v>490</v>
      </c>
      <c r="B36" t="s">
        <v>923</v>
      </c>
      <c r="C36" s="702" t="e">
        <f>C38+C39</f>
        <v>#N/A</v>
      </c>
      <c r="D36" t="s">
        <v>718</v>
      </c>
      <c r="E36" s="704">
        <f>2*43560</f>
        <v>87120</v>
      </c>
      <c r="F36" s="704" t="e">
        <f>IF(A36="x",C36*E36,0)</f>
        <v>#N/A</v>
      </c>
      <c r="G36" s="705">
        <f t="shared" si="2"/>
        <v>20</v>
      </c>
      <c r="H36" s="704" t="e">
        <f>PMT($C$14, G36, -F36)</f>
        <v>#N/A</v>
      </c>
      <c r="I36" s="437" t="e">
        <f>C36/43000</f>
        <v>#N/A</v>
      </c>
      <c r="L36" t="s">
        <v>987</v>
      </c>
      <c r="M36" s="437">
        <f>'ASP Model_YW+FW'!M93</f>
        <v>1764.4444444444446</v>
      </c>
      <c r="N36" t="s">
        <v>677</v>
      </c>
      <c r="O36"/>
      <c r="P36"/>
    </row>
    <row r="37" spans="1:16" s="406" customFormat="1" x14ac:dyDescent="0.35">
      <c r="A37"/>
      <c r="B37" t="s">
        <v>924</v>
      </c>
      <c r="C37" s="705" t="e">
        <f>K18*43000</f>
        <v>#N/A</v>
      </c>
      <c r="D37" t="s">
        <v>647</v>
      </c>
      <c r="E37" s="706">
        <v>3</v>
      </c>
      <c r="F37" s="704">
        <f>IF(A37="x",C37*E37,0)</f>
        <v>0</v>
      </c>
      <c r="G37" s="705">
        <f t="shared" si="2"/>
        <v>20</v>
      </c>
      <c r="H37" s="704">
        <f>PMT($C$14, G37, -F37)</f>
        <v>0</v>
      </c>
      <c r="I37"/>
      <c r="L37" t="s">
        <v>988</v>
      </c>
      <c r="M37" s="437" t="e">
        <f>(M32*K5)/26</f>
        <v>#N/A</v>
      </c>
      <c r="N37" t="s">
        <v>677</v>
      </c>
      <c r="O37"/>
      <c r="P37"/>
    </row>
    <row r="38" spans="1:16" s="406" customFormat="1" x14ac:dyDescent="0.35">
      <c r="A38" t="s">
        <v>490</v>
      </c>
      <c r="B38" t="s">
        <v>1020</v>
      </c>
      <c r="C38" s="702" t="e">
        <f>K18</f>
        <v>#N/A</v>
      </c>
      <c r="D38" t="s">
        <v>718</v>
      </c>
      <c r="E38" s="703">
        <v>108900</v>
      </c>
      <c r="F38" s="704" t="e">
        <f t="shared" ref="F38:F39" si="4">IF(A38="x",C38*E38,0)</f>
        <v>#N/A</v>
      </c>
      <c r="G38" s="705">
        <f t="shared" si="2"/>
        <v>20</v>
      </c>
      <c r="H38" s="704" t="e">
        <f t="shared" ref="H38:H48" si="5">PMT($C$14, G38, -F38)</f>
        <v>#N/A</v>
      </c>
      <c r="I38" s="437"/>
      <c r="L38" t="s">
        <v>990</v>
      </c>
      <c r="M38" s="504" t="e">
        <f>M36/M34</f>
        <v>#N/A</v>
      </c>
      <c r="N38"/>
    </row>
    <row r="39" spans="1:16" s="406" customFormat="1" x14ac:dyDescent="0.35">
      <c r="A39" t="s">
        <v>490</v>
      </c>
      <c r="B39" t="s">
        <v>1021</v>
      </c>
      <c r="C39" s="702" t="e">
        <f>K18</f>
        <v>#N/A</v>
      </c>
      <c r="D39" t="s">
        <v>718</v>
      </c>
      <c r="E39" s="703">
        <v>108900</v>
      </c>
      <c r="F39" s="704" t="e">
        <f t="shared" si="4"/>
        <v>#N/A</v>
      </c>
      <c r="G39" s="705">
        <f t="shared" si="2"/>
        <v>20</v>
      </c>
      <c r="H39" s="704" t="e">
        <f t="shared" si="5"/>
        <v>#N/A</v>
      </c>
      <c r="I39" s="437"/>
      <c r="L39" t="s">
        <v>1035</v>
      </c>
      <c r="M39" s="438" t="e">
        <f>C89/12</f>
        <v>#N/A</v>
      </c>
      <c r="N39" t="s">
        <v>677</v>
      </c>
    </row>
    <row r="40" spans="1:16" s="406" customFormat="1" x14ac:dyDescent="0.35">
      <c r="A40" t="s">
        <v>490</v>
      </c>
      <c r="B40" t="s">
        <v>738</v>
      </c>
      <c r="C40" s="705">
        <f>C41+C42</f>
        <v>25000</v>
      </c>
      <c r="D40" t="s">
        <v>647</v>
      </c>
      <c r="E40" s="706">
        <v>0.68</v>
      </c>
      <c r="F40" s="704">
        <f>IF(A40="x",C40*E40,0)</f>
        <v>17000</v>
      </c>
      <c r="G40" s="705">
        <f>Building_Cost_Amortisation</f>
        <v>20</v>
      </c>
      <c r="H40" s="704">
        <f t="shared" si="5"/>
        <v>1142.667029146605</v>
      </c>
      <c r="I40" s="410">
        <f>C40/43000</f>
        <v>0.58139534883720934</v>
      </c>
      <c r="L40"/>
      <c r="M40"/>
      <c r="N40"/>
    </row>
    <row r="41" spans="1:16" s="406" customFormat="1" x14ac:dyDescent="0.35">
      <c r="A41" t="s">
        <v>490</v>
      </c>
      <c r="B41" t="s">
        <v>741</v>
      </c>
      <c r="C41" s="707">
        <v>20000</v>
      </c>
      <c r="D41" t="s">
        <v>647</v>
      </c>
      <c r="E41" s="706">
        <v>2.5</v>
      </c>
      <c r="F41" s="704">
        <f>IF(A41="x",C41*E41,0)</f>
        <v>50000</v>
      </c>
      <c r="G41" s="705">
        <f>Building_Cost_Amortisation</f>
        <v>20</v>
      </c>
      <c r="H41" s="704">
        <f t="shared" si="5"/>
        <v>3360.785379842956</v>
      </c>
      <c r="I41" s="410">
        <f>C41/43000</f>
        <v>0.46511627906976744</v>
      </c>
      <c r="L41"/>
      <c r="M41" t="s">
        <v>959</v>
      </c>
      <c r="N41" s="383" t="s">
        <v>35</v>
      </c>
      <c r="O41" t="s">
        <v>851</v>
      </c>
      <c r="P41"/>
    </row>
    <row r="42" spans="1:16" s="406" customFormat="1" x14ac:dyDescent="0.35">
      <c r="A42" t="s">
        <v>490</v>
      </c>
      <c r="B42" t="s">
        <v>925</v>
      </c>
      <c r="C42" s="705">
        <f>100*50</f>
        <v>5000</v>
      </c>
      <c r="D42" t="s">
        <v>647</v>
      </c>
      <c r="E42" s="706">
        <v>40</v>
      </c>
      <c r="F42" s="704">
        <f>IF(A42="x",C42*E42,0)</f>
        <v>200000</v>
      </c>
      <c r="G42" s="705">
        <f>Building_Cost_Amortisation</f>
        <v>20</v>
      </c>
      <c r="H42" s="704">
        <f t="shared" si="5"/>
        <v>13443.141519371824</v>
      </c>
      <c r="I42" s="410">
        <f>C42/43000</f>
        <v>0.11627906976744186</v>
      </c>
      <c r="L42" s="573" t="s">
        <v>978</v>
      </c>
      <c r="M42" s="573">
        <v>500</v>
      </c>
      <c r="N42" s="573"/>
      <c r="O42" s="573">
        <v>750</v>
      </c>
      <c r="P42" s="573" t="s">
        <v>960</v>
      </c>
    </row>
    <row r="43" spans="1:16" s="406" customFormat="1" x14ac:dyDescent="0.35">
      <c r="A43" t="s">
        <v>490</v>
      </c>
      <c r="B43" t="s">
        <v>746</v>
      </c>
      <c r="C43" s="705">
        <v>1</v>
      </c>
      <c r="D43" t="s">
        <v>710</v>
      </c>
      <c r="E43" s="704">
        <v>40000</v>
      </c>
      <c r="F43" s="704">
        <f>IF(A43="x",C43*E43,0)</f>
        <v>40000</v>
      </c>
      <c r="G43" s="705">
        <v>20</v>
      </c>
      <c r="H43" s="704">
        <f>PMT($C$14, G43, -F43)</f>
        <v>2688.628303874365</v>
      </c>
      <c r="I43">
        <v>8</v>
      </c>
      <c r="L43" t="s">
        <v>979</v>
      </c>
      <c r="M43">
        <v>1</v>
      </c>
      <c r="N43"/>
      <c r="O43">
        <v>3</v>
      </c>
      <c r="P43" t="s">
        <v>961</v>
      </c>
    </row>
    <row r="44" spans="1:16" x14ac:dyDescent="0.35">
      <c r="C44" s="705"/>
      <c r="E44" s="706"/>
      <c r="F44" s="704"/>
      <c r="G44" s="705"/>
      <c r="H44" s="704"/>
      <c r="I44" s="410"/>
      <c r="L44" s="574" t="s">
        <v>980</v>
      </c>
      <c r="M44" s="586" t="e">
        <f>(K7+C88+C89)/M42</f>
        <v>#N/A</v>
      </c>
      <c r="N44" s="574"/>
      <c r="O44" s="575" t="e">
        <f>(#REF!+C96+(C98*2000/#REF!)+C99)/O42</f>
        <v>#REF!</v>
      </c>
      <c r="P44" s="574" t="s">
        <v>977</v>
      </c>
    </row>
    <row r="45" spans="1:16" x14ac:dyDescent="0.35">
      <c r="B45" s="567" t="s">
        <v>760</v>
      </c>
      <c r="C45" s="705"/>
      <c r="E45" s="706"/>
      <c r="F45" s="704"/>
      <c r="G45" s="705"/>
      <c r="H45" s="704"/>
      <c r="I45" s="410"/>
      <c r="L45" s="573" t="s">
        <v>965</v>
      </c>
      <c r="M45" s="573">
        <v>10</v>
      </c>
      <c r="N45" s="576">
        <f>AVERAGE(M45,O45)</f>
        <v>255</v>
      </c>
      <c r="O45" s="573">
        <v>500</v>
      </c>
      <c r="P45" s="573" t="s">
        <v>960</v>
      </c>
    </row>
    <row r="46" spans="1:16" x14ac:dyDescent="0.35">
      <c r="A46" t="s">
        <v>490</v>
      </c>
      <c r="B46" t="s">
        <v>1018</v>
      </c>
      <c r="C46" s="705">
        <f>50*75</f>
        <v>3750</v>
      </c>
      <c r="D46" t="s">
        <v>647</v>
      </c>
      <c r="E46" s="708">
        <v>125</v>
      </c>
      <c r="F46" s="704">
        <f>IF(A46="x",C46*E46,0)</f>
        <v>468750</v>
      </c>
      <c r="G46" s="705">
        <f>Building_Cost_Amortisation</f>
        <v>20</v>
      </c>
      <c r="H46" s="704"/>
      <c r="I46" s="410"/>
      <c r="L46" t="s">
        <v>964</v>
      </c>
      <c r="M46" s="572">
        <f>20000*(1+R54)</f>
        <v>20000</v>
      </c>
      <c r="N46" s="506"/>
      <c r="O46" s="572">
        <f>700000*(1+R54)</f>
        <v>700000</v>
      </c>
      <c r="P46" t="s">
        <v>970</v>
      </c>
    </row>
    <row r="47" spans="1:16" x14ac:dyDescent="0.35">
      <c r="A47" t="s">
        <v>490</v>
      </c>
      <c r="B47" s="19" t="s">
        <v>765</v>
      </c>
      <c r="C47" s="705">
        <v>1</v>
      </c>
      <c r="D47" t="s">
        <v>710</v>
      </c>
      <c r="E47" s="704">
        <v>30000</v>
      </c>
      <c r="F47" s="704">
        <f>IF(A47="x",C47*E47,0)</f>
        <v>30000</v>
      </c>
      <c r="G47" s="705">
        <f>Building_Cost_Amortisation</f>
        <v>20</v>
      </c>
      <c r="H47" s="704">
        <f t="shared" si="5"/>
        <v>2016.4712279057737</v>
      </c>
      <c r="L47" t="s">
        <v>962</v>
      </c>
      <c r="M47" s="572"/>
      <c r="N47" s="578">
        <v>0.5</v>
      </c>
      <c r="O47" s="572"/>
      <c r="P47" t="s">
        <v>684</v>
      </c>
    </row>
    <row r="48" spans="1:16" x14ac:dyDescent="0.35">
      <c r="A48" t="s">
        <v>490</v>
      </c>
      <c r="B48" t="s">
        <v>767</v>
      </c>
      <c r="C48" s="705">
        <v>600</v>
      </c>
      <c r="D48" t="s">
        <v>647</v>
      </c>
      <c r="E48" s="704">
        <v>50</v>
      </c>
      <c r="F48" s="704">
        <f>IF(A48="x",C48*E48,0)</f>
        <v>30000</v>
      </c>
      <c r="G48" s="705">
        <f>Building_Cost_Amortisation</f>
        <v>20</v>
      </c>
      <c r="H48" s="704">
        <f t="shared" si="5"/>
        <v>2016.4712279057737</v>
      </c>
      <c r="L48" t="s">
        <v>974</v>
      </c>
      <c r="M48" s="572"/>
      <c r="N48" s="506" t="e">
        <f>N47*#REF!</f>
        <v>#REF!</v>
      </c>
      <c r="O48" s="572"/>
      <c r="P48" t="s">
        <v>982</v>
      </c>
    </row>
    <row r="49" spans="1:16" x14ac:dyDescent="0.35">
      <c r="C49" s="705"/>
      <c r="E49" s="704"/>
      <c r="F49" s="704"/>
      <c r="G49" s="705"/>
      <c r="H49" s="704"/>
      <c r="L49" t="s">
        <v>971</v>
      </c>
      <c r="M49" s="572"/>
      <c r="N49" s="590" t="e">
        <f>N48/N45</f>
        <v>#REF!</v>
      </c>
      <c r="O49" s="572"/>
      <c r="P49" t="s">
        <v>977</v>
      </c>
    </row>
    <row r="50" spans="1:16" s="406" customFormat="1" x14ac:dyDescent="0.35">
      <c r="A50"/>
      <c r="B50" s="448" t="s">
        <v>771</v>
      </c>
      <c r="C50" s="705"/>
      <c r="D50"/>
      <c r="E50" s="704"/>
      <c r="F50" s="704"/>
      <c r="G50" s="705"/>
      <c r="H50" s="704"/>
      <c r="I50"/>
      <c r="L50"/>
      <c r="M50" s="572"/>
      <c r="N50" s="590"/>
      <c r="O50" s="572"/>
      <c r="P50"/>
    </row>
    <row r="51" spans="1:16" s="406" customFormat="1" x14ac:dyDescent="0.35">
      <c r="A51" t="s">
        <v>490</v>
      </c>
      <c r="B51" t="s">
        <v>772</v>
      </c>
      <c r="C51" s="705">
        <v>1</v>
      </c>
      <c r="D51" t="s">
        <v>710</v>
      </c>
      <c r="E51" s="704">
        <v>40000</v>
      </c>
      <c r="F51" s="704">
        <f>IF(A51="x",C51*E51,0)</f>
        <v>40000</v>
      </c>
      <c r="G51" s="705">
        <f>Building_Cost_Amortisation</f>
        <v>20</v>
      </c>
      <c r="H51" s="704">
        <f>PMT($C$14, G51, -F51)</f>
        <v>2688.628303874365</v>
      </c>
      <c r="I51"/>
      <c r="L51"/>
      <c r="M51" s="572"/>
      <c r="N51" s="590"/>
      <c r="O51" s="572"/>
      <c r="P51"/>
    </row>
    <row r="52" spans="1:16" s="406" customFormat="1" x14ac:dyDescent="0.35">
      <c r="A52" t="s">
        <v>490</v>
      </c>
      <c r="B52" t="s">
        <v>324</v>
      </c>
      <c r="C52" s="705">
        <v>1</v>
      </c>
      <c r="D52" t="s">
        <v>710</v>
      </c>
      <c r="E52" s="704">
        <v>100000</v>
      </c>
      <c r="F52" s="704">
        <f>IF(A52="x",C52*E52,0)</f>
        <v>100000</v>
      </c>
      <c r="G52" s="705">
        <f>Equipment_Amortisation</f>
        <v>10</v>
      </c>
      <c r="H52" s="704">
        <f>PMT($C$14, G52, -F52)</f>
        <v>11723.050660515959</v>
      </c>
      <c r="I52"/>
      <c r="L52"/>
      <c r="M52" s="572"/>
      <c r="N52" s="590"/>
      <c r="O52" s="572"/>
      <c r="P52"/>
    </row>
    <row r="53" spans="1:16" s="406" customFormat="1" x14ac:dyDescent="0.35">
      <c r="A53" t="s">
        <v>490</v>
      </c>
      <c r="B53" t="s">
        <v>778</v>
      </c>
      <c r="C53" s="705" t="e">
        <f>(C34*43560)^(1/2)*4*1.5</f>
        <v>#N/A</v>
      </c>
      <c r="D53" t="s">
        <v>774</v>
      </c>
      <c r="E53" s="706">
        <v>12</v>
      </c>
      <c r="F53" s="704" t="e">
        <f t="shared" ref="F53" si="6">C53*E53</f>
        <v>#N/A</v>
      </c>
      <c r="G53" s="705">
        <f>Equipment_Amortisation</f>
        <v>10</v>
      </c>
      <c r="H53" s="704" t="e">
        <f>PMT($C$14, G53, -F53)</f>
        <v>#N/A</v>
      </c>
      <c r="I53"/>
      <c r="L53"/>
      <c r="M53" s="572"/>
      <c r="N53" s="590"/>
      <c r="O53" s="572"/>
      <c r="P53"/>
    </row>
    <row r="54" spans="1:16" s="406" customFormat="1" x14ac:dyDescent="0.35">
      <c r="A54" t="s">
        <v>490</v>
      </c>
      <c r="B54" t="s">
        <v>781</v>
      </c>
      <c r="C54" s="705">
        <v>1</v>
      </c>
      <c r="D54" t="s">
        <v>710</v>
      </c>
      <c r="E54" s="704">
        <v>5000</v>
      </c>
      <c r="F54" s="704">
        <f>IF(A54="x",C54*E54,0)</f>
        <v>5000</v>
      </c>
      <c r="G54" s="705">
        <f>Equipment_Amortisation</f>
        <v>10</v>
      </c>
      <c r="H54" s="704">
        <f>PMT($C$14, G54, -F54)</f>
        <v>586.15253302579799</v>
      </c>
      <c r="I54"/>
      <c r="L54" s="573" t="s">
        <v>966</v>
      </c>
      <c r="M54" s="573">
        <v>20</v>
      </c>
      <c r="N54" s="576">
        <f t="shared" ref="N54:N62" si="7">AVERAGE(M54,O54)</f>
        <v>1010</v>
      </c>
      <c r="O54" s="573">
        <v>2000</v>
      </c>
      <c r="P54" s="573" t="s">
        <v>960</v>
      </c>
    </row>
    <row r="55" spans="1:16" s="406" customFormat="1" x14ac:dyDescent="0.35">
      <c r="A55"/>
      <c r="B55"/>
      <c r="C55" s="705"/>
      <c r="D55"/>
      <c r="E55" s="704"/>
      <c r="F55" s="704"/>
      <c r="G55" s="705"/>
      <c r="H55" s="704"/>
      <c r="I55"/>
      <c r="L55" t="s">
        <v>967</v>
      </c>
      <c r="M55" s="572">
        <f>20000*(1+R54)</f>
        <v>20000</v>
      </c>
      <c r="N55" s="506"/>
      <c r="O55" s="572">
        <f>50000*(1+R54)</f>
        <v>50000</v>
      </c>
      <c r="P55" t="s">
        <v>970</v>
      </c>
    </row>
    <row r="56" spans="1:16" x14ac:dyDescent="0.35">
      <c r="B56" s="567" t="s">
        <v>792</v>
      </c>
      <c r="C56" s="705"/>
      <c r="E56" s="704"/>
      <c r="F56" s="704"/>
      <c r="G56" s="705"/>
      <c r="H56" s="704"/>
      <c r="L56" t="s">
        <v>975</v>
      </c>
      <c r="M56" s="572"/>
      <c r="N56" s="506" t="e">
        <f>#REF!*2000/#REF!</f>
        <v>#REF!</v>
      </c>
      <c r="O56" s="572"/>
      <c r="P56" t="s">
        <v>982</v>
      </c>
    </row>
    <row r="57" spans="1:16" s="406" customFormat="1" x14ac:dyDescent="0.35">
      <c r="A57" t="s">
        <v>490</v>
      </c>
      <c r="B57" t="s">
        <v>794</v>
      </c>
      <c r="C57" s="702" t="e">
        <f>I19</f>
        <v>#N/A</v>
      </c>
      <c r="D57" t="s">
        <v>723</v>
      </c>
      <c r="E57" s="704">
        <v>1000</v>
      </c>
      <c r="F57" s="704" t="e">
        <f>IF(A57="x",C57*E57,0)</f>
        <v>#N/A</v>
      </c>
      <c r="G57" s="705">
        <v>20</v>
      </c>
      <c r="H57" s="704" t="e">
        <f>PMT($C$14, G57, -F57)</f>
        <v>#N/A</v>
      </c>
      <c r="I57"/>
      <c r="L57" s="574" t="s">
        <v>972</v>
      </c>
      <c r="M57" s="577"/>
      <c r="N57" s="710" t="e">
        <f>N56/N54</f>
        <v>#REF!</v>
      </c>
      <c r="O57" s="577"/>
      <c r="P57" s="574" t="s">
        <v>977</v>
      </c>
    </row>
    <row r="58" spans="1:16" s="406" customFormat="1" x14ac:dyDescent="0.35">
      <c r="A58" t="s">
        <v>490</v>
      </c>
      <c r="B58" t="s">
        <v>793</v>
      </c>
      <c r="C58" s="709">
        <v>0.05</v>
      </c>
      <c r="D58"/>
      <c r="E58" s="704" t="e">
        <f>SUM(F36:F54)+F57</f>
        <v>#N/A</v>
      </c>
      <c r="F58" s="704" t="e">
        <f>IF(A58="x",C58*E58,0)</f>
        <v>#N/A</v>
      </c>
      <c r="G58" s="705">
        <v>20</v>
      </c>
      <c r="H58" s="704" t="e">
        <f>PMT($C$14, G58, -F58)</f>
        <v>#N/A</v>
      </c>
      <c r="I58"/>
      <c r="L58" t="s">
        <v>1025</v>
      </c>
      <c r="M58">
        <v>9</v>
      </c>
      <c r="N58"/>
      <c r="O58"/>
      <c r="P58"/>
    </row>
    <row r="59" spans="1:16" ht="15" thickBot="1" x14ac:dyDescent="0.4">
      <c r="E59" s="476" t="s">
        <v>711</v>
      </c>
      <c r="F59" s="444" t="e">
        <f>SUM(F34:F58)</f>
        <v>#N/A</v>
      </c>
      <c r="G59" s="476" t="s">
        <v>711</v>
      </c>
      <c r="H59" s="444" t="e">
        <f>SUM(H34:H58)</f>
        <v>#N/A</v>
      </c>
      <c r="L59" t="s">
        <v>1029</v>
      </c>
      <c r="M59">
        <f>52/4</f>
        <v>13</v>
      </c>
      <c r="N59" s="406"/>
      <c r="O59" s="406"/>
    </row>
    <row r="60" spans="1:16" ht="15" thickTop="1" x14ac:dyDescent="0.35">
      <c r="F60" s="477"/>
      <c r="L60" t="s">
        <v>1030</v>
      </c>
      <c r="M60">
        <v>3000</v>
      </c>
      <c r="N60" t="s">
        <v>960</v>
      </c>
      <c r="O60" s="406"/>
    </row>
    <row r="61" spans="1:16" x14ac:dyDescent="0.35">
      <c r="A61" t="s">
        <v>490</v>
      </c>
      <c r="B61" s="691" t="s">
        <v>787</v>
      </c>
      <c r="C61" s="689">
        <v>0.15</v>
      </c>
      <c r="E61" s="480" t="e">
        <f>F59</f>
        <v>#N/A</v>
      </c>
      <c r="F61" s="477" t="e">
        <f>IF(A61="x",C61*E61,0)</f>
        <v>#N/A</v>
      </c>
      <c r="G61">
        <v>20</v>
      </c>
      <c r="H61" s="572" t="e">
        <f>PMT($C$14,G61,-F61)</f>
        <v>#N/A</v>
      </c>
      <c r="L61" t="s">
        <v>1032</v>
      </c>
      <c r="M61" s="699" t="e">
        <f>ROUND(K7/(M60*0.8),0)*M59</f>
        <v>#N/A</v>
      </c>
      <c r="N61" t="s">
        <v>1033</v>
      </c>
      <c r="O61" s="406"/>
    </row>
    <row r="62" spans="1:16" x14ac:dyDescent="0.35">
      <c r="A62" t="s">
        <v>490</v>
      </c>
      <c r="B62" s="481" t="s">
        <v>788</v>
      </c>
      <c r="C62" s="689">
        <v>0.1</v>
      </c>
      <c r="E62" s="480" t="e">
        <f>F59</f>
        <v>#N/A</v>
      </c>
      <c r="F62" s="477" t="e">
        <f>IF(A62="x",C62*E62,0)</f>
        <v>#N/A</v>
      </c>
      <c r="G62">
        <v>20</v>
      </c>
      <c r="H62" s="572" t="e">
        <f t="shared" ref="H62:H63" si="8">PMT($C$14,G62,-F62)</f>
        <v>#N/A</v>
      </c>
      <c r="L62" s="573" t="s">
        <v>968</v>
      </c>
      <c r="M62" s="573">
        <v>10</v>
      </c>
      <c r="N62" s="576">
        <f t="shared" si="7"/>
        <v>105</v>
      </c>
      <c r="O62" s="573">
        <v>200</v>
      </c>
      <c r="P62" s="573" t="s">
        <v>960</v>
      </c>
    </row>
    <row r="63" spans="1:16" x14ac:dyDescent="0.35">
      <c r="A63" t="s">
        <v>490</v>
      </c>
      <c r="B63" s="481" t="s">
        <v>795</v>
      </c>
      <c r="C63" s="689">
        <v>0.1</v>
      </c>
      <c r="E63" s="480" t="e">
        <f>F59</f>
        <v>#N/A</v>
      </c>
      <c r="F63" s="477" t="e">
        <f>IF(A63="x",C63*E63,0)</f>
        <v>#N/A</v>
      </c>
      <c r="G63">
        <v>20</v>
      </c>
      <c r="H63" s="572" t="e">
        <f t="shared" si="8"/>
        <v>#N/A</v>
      </c>
      <c r="L63" t="s">
        <v>969</v>
      </c>
      <c r="M63" s="572">
        <f>50000*(1+R54)</f>
        <v>50000</v>
      </c>
      <c r="N63" s="506"/>
      <c r="O63" s="572">
        <f>180000*(1+R54)</f>
        <v>180000</v>
      </c>
      <c r="P63" t="s">
        <v>970</v>
      </c>
    </row>
    <row r="64" spans="1:16" ht="15" thickBot="1" x14ac:dyDescent="0.4">
      <c r="E64" s="421" t="s">
        <v>711</v>
      </c>
      <c r="F64" s="444" t="e">
        <f>SUM(F61:F63)</f>
        <v>#N/A</v>
      </c>
      <c r="G64" s="421" t="s">
        <v>711</v>
      </c>
      <c r="H64" s="444" t="e">
        <f>SUM(H61:H63)</f>
        <v>#N/A</v>
      </c>
      <c r="I64" s="417" t="e">
        <f>SUM(I36:I63)</f>
        <v>#N/A</v>
      </c>
      <c r="L64" t="s">
        <v>976</v>
      </c>
      <c r="M64" s="572"/>
      <c r="N64" s="506" t="e">
        <f>C89</f>
        <v>#N/A</v>
      </c>
      <c r="O64" s="572"/>
      <c r="P64" t="s">
        <v>982</v>
      </c>
    </row>
    <row r="65" spans="1:16" ht="15.5" thickTop="1" thickBot="1" x14ac:dyDescent="0.4">
      <c r="B65" s="558"/>
      <c r="C65" s="558"/>
      <c r="D65" s="558"/>
      <c r="E65" s="421"/>
      <c r="F65" s="421"/>
      <c r="G65" s="421"/>
      <c r="H65" s="421"/>
      <c r="L65" s="574" t="s">
        <v>973</v>
      </c>
      <c r="M65" s="574"/>
      <c r="N65" s="711" t="e">
        <f>N64/N62</f>
        <v>#N/A</v>
      </c>
      <c r="O65" s="574"/>
      <c r="P65" s="574" t="s">
        <v>977</v>
      </c>
    </row>
    <row r="66" spans="1:16" ht="15.5" thickTop="1" thickBot="1" x14ac:dyDescent="0.4">
      <c r="C66" s="558"/>
      <c r="D66" s="558"/>
      <c r="E66" s="421" t="s">
        <v>796</v>
      </c>
      <c r="F66" s="485" t="e">
        <f>F31+F59+F64</f>
        <v>#N/A</v>
      </c>
      <c r="G66" s="485"/>
      <c r="H66" s="485" t="e">
        <f>H31+H59+H64</f>
        <v>#N/A</v>
      </c>
    </row>
    <row r="67" spans="1:16" ht="15.5" thickTop="1" thickBot="1" x14ac:dyDescent="0.4">
      <c r="C67" s="558"/>
      <c r="D67" s="558"/>
      <c r="E67" s="421" t="s">
        <v>797</v>
      </c>
      <c r="F67" s="690" t="e">
        <f>F66/C10</f>
        <v>#N/A</v>
      </c>
      <c r="G67" s="485"/>
      <c r="H67" s="486" t="e">
        <f>H66/C15</f>
        <v>#N/A</v>
      </c>
    </row>
    <row r="68" spans="1:16" ht="20.5" thickTop="1" thickBot="1" x14ac:dyDescent="0.5">
      <c r="B68" s="426" t="s">
        <v>926</v>
      </c>
      <c r="C68" s="426"/>
      <c r="D68" s="426"/>
      <c r="E68" s="426"/>
      <c r="F68" s="426"/>
    </row>
    <row r="69" spans="1:16" ht="18" thickTop="1" thickBot="1" x14ac:dyDescent="0.45">
      <c r="B69" s="391" t="s">
        <v>799</v>
      </c>
      <c r="C69" s="490" t="s">
        <v>800</v>
      </c>
      <c r="D69" s="490" t="s">
        <v>801</v>
      </c>
      <c r="E69" s="490" t="s">
        <v>802</v>
      </c>
      <c r="F69" s="490" t="s">
        <v>652</v>
      </c>
      <c r="G69" s="610" t="s">
        <v>983</v>
      </c>
      <c r="H69" s="610" t="s">
        <v>984</v>
      </c>
    </row>
    <row r="70" spans="1:16" ht="15" thickTop="1" x14ac:dyDescent="0.35">
      <c r="B70" t="s">
        <v>803</v>
      </c>
      <c r="C70" s="564" t="e">
        <f>IF(K7&lt;20000,0.25,IF(K7&lt;40000, 0.5,1))</f>
        <v>#N/A</v>
      </c>
      <c r="D70" t="s">
        <v>927</v>
      </c>
      <c r="E70" s="570">
        <f>30*1.5</f>
        <v>45</v>
      </c>
      <c r="F70" s="434">
        <f t="shared" ref="F70:F75" si="9">IF(A70="x",C70*E70*2080,0)</f>
        <v>0</v>
      </c>
      <c r="G70" s="410" t="e">
        <f>C70</f>
        <v>#N/A</v>
      </c>
      <c r="H70" s="437" t="e">
        <f>G70*2080</f>
        <v>#N/A</v>
      </c>
    </row>
    <row r="71" spans="1:16" x14ac:dyDescent="0.35">
      <c r="B71" t="s">
        <v>805</v>
      </c>
      <c r="C71" s="474">
        <v>3</v>
      </c>
      <c r="D71" t="s">
        <v>927</v>
      </c>
      <c r="E71" s="570">
        <f>EquipOperatorWages/2080</f>
        <v>23.477999999999994</v>
      </c>
      <c r="F71" s="434">
        <f t="shared" si="9"/>
        <v>0</v>
      </c>
      <c r="G71" s="410" t="e">
        <f>(C75-(G70+G72+G74))/2</f>
        <v>#N/A</v>
      </c>
      <c r="H71" s="437" t="e">
        <f t="shared" ref="H71:H74" si="10">G71*2080</f>
        <v>#N/A</v>
      </c>
    </row>
    <row r="72" spans="1:16" x14ac:dyDescent="0.35">
      <c r="B72" t="s">
        <v>806</v>
      </c>
      <c r="C72" s="564" t="e">
        <f>IF(K7&lt;20000,0.5, 1)</f>
        <v>#N/A</v>
      </c>
      <c r="D72" t="s">
        <v>927</v>
      </c>
      <c r="E72" s="570">
        <f>'Transfer &amp; MRF Assumptions'!E10/2080</f>
        <v>30.315999999999999</v>
      </c>
      <c r="F72" s="434">
        <f t="shared" si="9"/>
        <v>0</v>
      </c>
      <c r="G72" s="410" t="e">
        <f>C72</f>
        <v>#N/A</v>
      </c>
      <c r="H72" s="437" t="e">
        <f t="shared" si="10"/>
        <v>#N/A</v>
      </c>
    </row>
    <row r="73" spans="1:16" x14ac:dyDescent="0.35">
      <c r="B73" t="s">
        <v>807</v>
      </c>
      <c r="C73" s="474">
        <v>2</v>
      </c>
      <c r="D73" t="s">
        <v>927</v>
      </c>
      <c r="E73" s="570">
        <f>'Transfer &amp; MRF Assumptions'!E4/2080</f>
        <v>19.63</v>
      </c>
      <c r="F73" s="434">
        <f t="shared" si="9"/>
        <v>0</v>
      </c>
      <c r="G73" t="e">
        <f>(C75-(G70+G72+G74))/2</f>
        <v>#N/A</v>
      </c>
      <c r="H73" s="437" t="e">
        <f t="shared" si="10"/>
        <v>#N/A</v>
      </c>
    </row>
    <row r="74" spans="1:16" x14ac:dyDescent="0.35">
      <c r="B74" t="s">
        <v>808</v>
      </c>
      <c r="C74" s="474">
        <v>1</v>
      </c>
      <c r="D74" t="s">
        <v>927</v>
      </c>
      <c r="E74" s="570">
        <f>ScaleClericalWages/2080</f>
        <v>22.425000000000001</v>
      </c>
      <c r="F74" s="434">
        <f t="shared" si="9"/>
        <v>0</v>
      </c>
      <c r="G74" s="410">
        <f>C74</f>
        <v>1</v>
      </c>
      <c r="H74" s="437">
        <f t="shared" si="10"/>
        <v>2080</v>
      </c>
    </row>
    <row r="75" spans="1:16" x14ac:dyDescent="0.35">
      <c r="A75" t="s">
        <v>490</v>
      </c>
      <c r="B75" t="s">
        <v>809</v>
      </c>
      <c r="C75" s="564" t="e">
        <f>ROUNDUP((I7/10000)*4.1,0)</f>
        <v>#N/A</v>
      </c>
      <c r="E75" s="570" t="e">
        <f>SUMPRODUCT(E70:E74,G70:G74)/C75</f>
        <v>#N/A</v>
      </c>
      <c r="F75" s="434" t="e">
        <f t="shared" si="9"/>
        <v>#N/A</v>
      </c>
    </row>
    <row r="76" spans="1:16" ht="15" thickBot="1" x14ac:dyDescent="0.4">
      <c r="C76" s="382"/>
      <c r="E76" s="421" t="s">
        <v>810</v>
      </c>
      <c r="F76" s="444" t="e">
        <f>SUM(F70:F75)</f>
        <v>#N/A</v>
      </c>
      <c r="G76" s="394" t="e">
        <f>F76/C10</f>
        <v>#N/A</v>
      </c>
    </row>
    <row r="77" spans="1:16" ht="18" thickTop="1" thickBot="1" x14ac:dyDescent="0.45">
      <c r="B77" s="391" t="s">
        <v>811</v>
      </c>
      <c r="C77" s="445"/>
      <c r="D77" s="391"/>
      <c r="E77" s="503"/>
      <c r="F77" s="503"/>
    </row>
    <row r="78" spans="1:16" ht="15" thickTop="1" x14ac:dyDescent="0.35">
      <c r="A78" t="s">
        <v>490</v>
      </c>
      <c r="B78" t="s">
        <v>812</v>
      </c>
      <c r="C78" s="712">
        <v>0.1</v>
      </c>
      <c r="D78" t="s">
        <v>684</v>
      </c>
      <c r="E78" s="443" t="e">
        <f>H31</f>
        <v>#N/A</v>
      </c>
      <c r="F78" s="443" t="e">
        <f>IF(A78="x",C78*E78,0)</f>
        <v>#N/A</v>
      </c>
    </row>
    <row r="79" spans="1:16" x14ac:dyDescent="0.35">
      <c r="A79" t="s">
        <v>490</v>
      </c>
      <c r="B79" t="s">
        <v>816</v>
      </c>
      <c r="C79" s="712">
        <v>0.1</v>
      </c>
      <c r="D79" t="s">
        <v>684</v>
      </c>
      <c r="E79" s="443" t="e">
        <f>H59</f>
        <v>#N/A</v>
      </c>
      <c r="F79" s="443" t="e">
        <f>IF(A79="x",C79*E79,0)</f>
        <v>#N/A</v>
      </c>
    </row>
    <row r="80" spans="1:16" x14ac:dyDescent="0.35">
      <c r="A80" t="s">
        <v>490</v>
      </c>
      <c r="B80" t="s">
        <v>819</v>
      </c>
      <c r="C80" s="382">
        <f>C42+C48</f>
        <v>5600</v>
      </c>
      <c r="D80" t="s">
        <v>647</v>
      </c>
      <c r="E80" s="417">
        <v>2.5</v>
      </c>
      <c r="F80" s="434">
        <f>IF(A80="x",C80*E80,0)</f>
        <v>14000</v>
      </c>
    </row>
    <row r="81" spans="1:10" x14ac:dyDescent="0.35">
      <c r="A81" t="s">
        <v>490</v>
      </c>
      <c r="B81" t="s">
        <v>822</v>
      </c>
      <c r="C81" s="382">
        <v>1</v>
      </c>
      <c r="D81" t="s">
        <v>710</v>
      </c>
      <c r="E81" s="434">
        <v>25000</v>
      </c>
      <c r="F81" s="434">
        <f>IF(A81="x",C81*E81,0)</f>
        <v>25000</v>
      </c>
      <c r="G81" s="434">
        <f>C82*E82</f>
        <v>8400</v>
      </c>
    </row>
    <row r="82" spans="1:10" x14ac:dyDescent="0.35">
      <c r="A82" t="s">
        <v>490</v>
      </c>
      <c r="B82" t="s">
        <v>825</v>
      </c>
      <c r="C82" s="382">
        <f>C80</f>
        <v>5600</v>
      </c>
      <c r="D82" t="s">
        <v>647</v>
      </c>
      <c r="E82" s="417">
        <v>1.5</v>
      </c>
      <c r="F82" s="434">
        <f>IF(A82="x",C82*E82,0)</f>
        <v>8400</v>
      </c>
      <c r="G82" s="394" t="e">
        <f>F83/C10</f>
        <v>#N/A</v>
      </c>
    </row>
    <row r="83" spans="1:10" ht="15" thickBot="1" x14ac:dyDescent="0.4">
      <c r="C83" s="382"/>
      <c r="E83" s="421" t="s">
        <v>810</v>
      </c>
      <c r="F83" s="444" t="e">
        <f>SUM(F78:F82)</f>
        <v>#N/A</v>
      </c>
      <c r="G83" s="394"/>
    </row>
    <row r="84" spans="1:10" ht="18" thickTop="1" thickBot="1" x14ac:dyDescent="0.45">
      <c r="B84" s="391" t="s">
        <v>829</v>
      </c>
      <c r="C84" s="445"/>
      <c r="D84" s="391"/>
      <c r="E84" s="503"/>
      <c r="F84" s="503"/>
    </row>
    <row r="85" spans="1:10" ht="15" thickTop="1" x14ac:dyDescent="0.35">
      <c r="A85" t="s">
        <v>490</v>
      </c>
      <c r="B85" t="s">
        <v>914</v>
      </c>
      <c r="C85" s="568" t="e">
        <f>M61</f>
        <v>#N/A</v>
      </c>
      <c r="D85" t="s">
        <v>837</v>
      </c>
      <c r="E85" s="456">
        <v>45</v>
      </c>
      <c r="F85" s="434" t="e">
        <f t="shared" ref="F85:F90" si="11">IF(A85="x",C85*E85,0)</f>
        <v>#N/A</v>
      </c>
    </row>
    <row r="86" spans="1:10" x14ac:dyDescent="0.35">
      <c r="A86" t="s">
        <v>490</v>
      </c>
      <c r="B86" t="s">
        <v>836</v>
      </c>
      <c r="C86" s="382" t="e">
        <f>(M44+M61)*1.5</f>
        <v>#N/A</v>
      </c>
      <c r="D86" t="s">
        <v>837</v>
      </c>
      <c r="E86" s="570">
        <f>AVERAGE(M43:O43)*'Transfer &amp; MRF Assumptions'!B57</f>
        <v>5.4</v>
      </c>
      <c r="F86" s="434" t="e">
        <f t="shared" si="11"/>
        <v>#N/A</v>
      </c>
    </row>
    <row r="87" spans="1:10" x14ac:dyDescent="0.35">
      <c r="A87" t="s">
        <v>490</v>
      </c>
      <c r="B87" t="s">
        <v>1034</v>
      </c>
      <c r="C87" s="568" t="e">
        <f>M61*1.5</f>
        <v>#N/A</v>
      </c>
      <c r="D87" t="s">
        <v>837</v>
      </c>
      <c r="E87" s="570">
        <f>E86</f>
        <v>5.4</v>
      </c>
      <c r="F87" s="434" t="e">
        <f t="shared" si="11"/>
        <v>#N/A</v>
      </c>
    </row>
    <row r="88" spans="1:10" x14ac:dyDescent="0.35">
      <c r="A88" t="s">
        <v>490</v>
      </c>
      <c r="B88" t="s">
        <v>840</v>
      </c>
      <c r="C88" s="438" t="e">
        <f>K5*0.5</f>
        <v>#N/A</v>
      </c>
      <c r="D88" t="s">
        <v>841</v>
      </c>
      <c r="E88" s="417">
        <v>4</v>
      </c>
      <c r="F88" s="434" t="e">
        <f t="shared" si="11"/>
        <v>#N/A</v>
      </c>
      <c r="I88" t="s">
        <v>928</v>
      </c>
      <c r="J88" t="s">
        <v>929</v>
      </c>
    </row>
    <row r="89" spans="1:10" x14ac:dyDescent="0.35">
      <c r="A89" t="s">
        <v>490</v>
      </c>
      <c r="B89" t="s">
        <v>848</v>
      </c>
      <c r="C89" s="382" t="e">
        <f>((C10*2000)/1000)*0.4</f>
        <v>#N/A</v>
      </c>
      <c r="D89" t="s">
        <v>849</v>
      </c>
      <c r="E89" s="417">
        <v>3.75</v>
      </c>
      <c r="F89" s="434" t="e">
        <f t="shared" si="11"/>
        <v>#N/A</v>
      </c>
      <c r="I89" t="s">
        <v>930</v>
      </c>
      <c r="J89" s="437" t="e">
        <f>C88/50</f>
        <v>#N/A</v>
      </c>
    </row>
    <row r="90" spans="1:10" x14ac:dyDescent="0.35">
      <c r="B90" t="s">
        <v>852</v>
      </c>
      <c r="C90" s="382">
        <v>2000</v>
      </c>
      <c r="D90" t="s">
        <v>853</v>
      </c>
      <c r="E90" s="417">
        <v>3</v>
      </c>
      <c r="F90" s="434">
        <f t="shared" si="11"/>
        <v>0</v>
      </c>
      <c r="J90" t="e">
        <f>F88/J89</f>
        <v>#N/A</v>
      </c>
    </row>
    <row r="91" spans="1:10" ht="15" thickBot="1" x14ac:dyDescent="0.4">
      <c r="B91" s="425"/>
      <c r="E91" s="421" t="s">
        <v>711</v>
      </c>
      <c r="F91" s="444" t="e">
        <f>SUM(F85:F90)</f>
        <v>#N/A</v>
      </c>
      <c r="G91" s="394" t="e">
        <f>F91/C10</f>
        <v>#N/A</v>
      </c>
      <c r="H91" s="480" t="e">
        <f>F91+F83+F76</f>
        <v>#N/A</v>
      </c>
    </row>
    <row r="92" spans="1:10" ht="15" thickTop="1" x14ac:dyDescent="0.35">
      <c r="B92" s="425"/>
      <c r="E92" s="394"/>
      <c r="F92" s="394"/>
      <c r="G92" s="394"/>
    </row>
    <row r="93" spans="1:10" x14ac:dyDescent="0.35">
      <c r="B93" t="s">
        <v>958</v>
      </c>
      <c r="C93" s="437" t="e">
        <f>C10*0.1</f>
        <v>#N/A</v>
      </c>
      <c r="D93" s="559" t="s">
        <v>845</v>
      </c>
      <c r="E93" s="566" t="e">
        <f>VLOOKUP(Input!C6,DropDowns_LookUps!A27:B33,2)</f>
        <v>#N/A</v>
      </c>
      <c r="F93" s="434" t="e">
        <f>C93*E93</f>
        <v>#N/A</v>
      </c>
      <c r="G93" s="394" t="e">
        <f>F93/C10</f>
        <v>#N/A</v>
      </c>
    </row>
    <row r="94" spans="1:10" x14ac:dyDescent="0.35">
      <c r="B94" s="425"/>
      <c r="E94" s="394"/>
      <c r="F94" s="394"/>
      <c r="G94" s="394"/>
    </row>
    <row r="95" spans="1:10" ht="15" thickBot="1" x14ac:dyDescent="0.4">
      <c r="E95" s="421" t="s">
        <v>1072</v>
      </c>
      <c r="F95" s="421" t="e">
        <f>F76+F83+F91+F93+H66</f>
        <v>#N/A</v>
      </c>
      <c r="G95" s="382" t="e">
        <f>F76+F83+F91+F93</f>
        <v>#N/A</v>
      </c>
      <c r="H95" t="e">
        <f>G95/C106</f>
        <v>#N/A</v>
      </c>
    </row>
    <row r="96" spans="1:10" ht="15.5" thickTop="1" thickBot="1" x14ac:dyDescent="0.4">
      <c r="E96" s="421" t="s">
        <v>857</v>
      </c>
      <c r="F96" s="400" t="e">
        <f>F95/C10</f>
        <v>#N/A</v>
      </c>
      <c r="G96" s="394" t="e">
        <f>G93+G91+G82+G76+H67</f>
        <v>#N/A</v>
      </c>
      <c r="H96" s="567" t="s">
        <v>953</v>
      </c>
    </row>
    <row r="97" spans="2:11" ht="15" thickTop="1" x14ac:dyDescent="0.35">
      <c r="E97" s="746" t="s">
        <v>1073</v>
      </c>
      <c r="F97" s="748" t="e">
        <f>F95-(C100+C102)</f>
        <v>#N/A</v>
      </c>
      <c r="G97" s="394"/>
      <c r="H97" s="567"/>
    </row>
    <row r="98" spans="2:11" x14ac:dyDescent="0.35">
      <c r="B98" s="425"/>
    </row>
    <row r="99" spans="2:11" ht="20" thickBot="1" x14ac:dyDescent="0.5">
      <c r="B99" s="426" t="s">
        <v>931</v>
      </c>
      <c r="C99" s="426"/>
      <c r="D99" s="426"/>
      <c r="E99" s="426" t="s">
        <v>932</v>
      </c>
      <c r="F99" s="426" t="s">
        <v>933</v>
      </c>
      <c r="G99" s="426"/>
    </row>
    <row r="100" spans="2:11" ht="15" thickTop="1" x14ac:dyDescent="0.35">
      <c r="B100" t="s">
        <v>859</v>
      </c>
      <c r="C100" s="480" t="e">
        <f>C5*C10</f>
        <v>#N/A</v>
      </c>
      <c r="E100" t="s">
        <v>934</v>
      </c>
      <c r="G100" s="479">
        <v>0.3</v>
      </c>
    </row>
    <row r="101" spans="2:11" x14ac:dyDescent="0.35">
      <c r="B101" t="s">
        <v>860</v>
      </c>
      <c r="C101" s="480">
        <v>0</v>
      </c>
      <c r="E101" t="s">
        <v>935</v>
      </c>
      <c r="G101" s="479">
        <v>0.3</v>
      </c>
    </row>
    <row r="102" spans="2:11" x14ac:dyDescent="0.35">
      <c r="B102" t="s">
        <v>936</v>
      </c>
      <c r="C102" s="560" t="e">
        <f>0.8*C89*C6</f>
        <v>#N/A</v>
      </c>
      <c r="D102" s="561" t="e">
        <f>C102/50000</f>
        <v>#N/A</v>
      </c>
      <c r="E102" t="s">
        <v>937</v>
      </c>
      <c r="G102" s="479">
        <v>0.4</v>
      </c>
      <c r="H102" s="480" t="e">
        <f>C100+C102</f>
        <v>#N/A</v>
      </c>
    </row>
    <row r="103" spans="2:11" ht="15" thickBot="1" x14ac:dyDescent="0.4">
      <c r="B103" s="484" t="s">
        <v>862</v>
      </c>
      <c r="C103" s="400" t="e">
        <f>(C100+C102)/C15</f>
        <v>#N/A</v>
      </c>
      <c r="H103" s="480" t="e">
        <f>H102-F95</f>
        <v>#N/A</v>
      </c>
    </row>
    <row r="104" spans="2:11" ht="15.5" thickTop="1" thickBot="1" x14ac:dyDescent="0.4">
      <c r="H104" t="e">
        <f>H103/I7</f>
        <v>#N/A</v>
      </c>
    </row>
    <row r="105" spans="2:11" ht="17.5" thickBot="1" x14ac:dyDescent="0.4">
      <c r="B105" s="520" t="s">
        <v>884</v>
      </c>
      <c r="C105" s="521" t="s">
        <v>815</v>
      </c>
      <c r="D105" s="417"/>
    </row>
    <row r="106" spans="2:11" ht="18" thickTop="1" thickBot="1" x14ac:dyDescent="0.4">
      <c r="B106" s="532" t="s">
        <v>885</v>
      </c>
      <c r="C106" s="524" t="e">
        <f>C15</f>
        <v>#N/A</v>
      </c>
      <c r="I106" s="382"/>
    </row>
    <row r="107" spans="2:11" ht="17.5" thickBot="1" x14ac:dyDescent="0.4">
      <c r="B107" s="525" t="s">
        <v>865</v>
      </c>
      <c r="C107" s="526" t="e">
        <f>I64</f>
        <v>#N/A</v>
      </c>
      <c r="D107" s="382"/>
      <c r="E107" s="382"/>
      <c r="F107" s="382"/>
      <c r="G107" s="382"/>
      <c r="H107" s="382"/>
      <c r="I107" s="382"/>
    </row>
    <row r="108" spans="2:11" ht="17.5" thickBot="1" x14ac:dyDescent="0.4">
      <c r="B108" s="528" t="s">
        <v>938</v>
      </c>
      <c r="C108" s="529" t="e">
        <f>I36</f>
        <v>#N/A</v>
      </c>
      <c r="D108" s="382"/>
      <c r="E108" s="382"/>
      <c r="F108" s="382"/>
      <c r="G108" s="382"/>
      <c r="H108" s="382"/>
      <c r="I108" s="382"/>
      <c r="J108" s="382"/>
      <c r="K108" s="382"/>
    </row>
    <row r="109" spans="2:11" ht="17.5" thickBot="1" x14ac:dyDescent="0.4">
      <c r="B109" s="525" t="s">
        <v>867</v>
      </c>
      <c r="C109" s="526">
        <f>SUM(C24:C30)</f>
        <v>7</v>
      </c>
      <c r="D109" s="382"/>
      <c r="E109" s="382"/>
      <c r="F109" s="382"/>
      <c r="G109" s="382"/>
      <c r="H109" s="382"/>
      <c r="I109" s="382"/>
      <c r="J109" s="382"/>
      <c r="K109" s="382"/>
    </row>
    <row r="110" spans="2:11" ht="17.5" thickBot="1" x14ac:dyDescent="0.4">
      <c r="B110" s="528" t="s">
        <v>868</v>
      </c>
      <c r="C110" s="529" t="e">
        <f>SUM(C70:C74)</f>
        <v>#N/A</v>
      </c>
      <c r="D110" s="382"/>
      <c r="E110" s="382"/>
      <c r="F110" s="382"/>
      <c r="G110" s="382"/>
      <c r="H110" s="382"/>
      <c r="I110" s="382"/>
      <c r="J110" s="382"/>
      <c r="K110" s="382"/>
    </row>
    <row r="111" spans="2:11" ht="17.5" thickBot="1" x14ac:dyDescent="0.4">
      <c r="B111" s="525" t="s">
        <v>869</v>
      </c>
      <c r="C111" s="526" t="e">
        <f>C89</f>
        <v>#N/A</v>
      </c>
      <c r="D111" s="382"/>
      <c r="E111" s="382"/>
      <c r="F111" s="382"/>
      <c r="G111" s="382"/>
      <c r="H111" s="382"/>
      <c r="I111" s="382"/>
    </row>
    <row r="112" spans="2:11" ht="15" thickBot="1" x14ac:dyDescent="0.4">
      <c r="B112" s="382"/>
      <c r="C112" s="382"/>
      <c r="D112" s="382"/>
      <c r="E112" s="382"/>
      <c r="F112" s="382"/>
      <c r="G112" s="382"/>
      <c r="H112" s="382"/>
      <c r="I112" s="382"/>
    </row>
    <row r="113" spans="2:11" ht="17.5" thickBot="1" x14ac:dyDescent="0.4">
      <c r="B113" s="520" t="s">
        <v>886</v>
      </c>
      <c r="C113" s="521" t="s">
        <v>815</v>
      </c>
      <c r="D113" s="382"/>
      <c r="E113" s="382"/>
      <c r="F113" s="382"/>
      <c r="G113" s="382"/>
      <c r="H113" s="382"/>
      <c r="I113" s="382"/>
    </row>
    <row r="114" spans="2:11" ht="18" thickTop="1" thickBot="1" x14ac:dyDescent="0.4">
      <c r="B114" s="530" t="s">
        <v>871</v>
      </c>
      <c r="C114" s="531"/>
      <c r="D114" s="382"/>
      <c r="E114" s="382"/>
      <c r="F114" s="382"/>
      <c r="G114" s="382"/>
      <c r="H114" s="382"/>
      <c r="I114" s="382"/>
    </row>
    <row r="115" spans="2:11" ht="18" thickTop="1" thickBot="1" x14ac:dyDescent="0.4">
      <c r="B115" s="532" t="s">
        <v>872</v>
      </c>
      <c r="C115" s="533" t="e">
        <f>F31</f>
        <v>#N/A</v>
      </c>
      <c r="D115" s="382"/>
      <c r="E115" s="417" t="e">
        <f>(C115+C116)/C106</f>
        <v>#N/A</v>
      </c>
      <c r="F115" s="382"/>
      <c r="G115" s="382"/>
      <c r="H115" s="382"/>
      <c r="I115" s="382"/>
      <c r="J115" s="382"/>
      <c r="K115" s="382"/>
    </row>
    <row r="116" spans="2:11" ht="17.5" thickBot="1" x14ac:dyDescent="0.4">
      <c r="B116" s="525" t="s">
        <v>873</v>
      </c>
      <c r="C116" s="534" t="e">
        <f>F64</f>
        <v>#N/A</v>
      </c>
      <c r="D116" s="382"/>
      <c r="E116" s="382"/>
      <c r="F116" s="382"/>
      <c r="G116" s="382"/>
      <c r="H116" s="382"/>
      <c r="I116" s="382"/>
      <c r="J116" s="382"/>
      <c r="K116" s="382"/>
    </row>
    <row r="117" spans="2:11" ht="17.5" thickBot="1" x14ac:dyDescent="0.4">
      <c r="B117" s="535" t="s">
        <v>874</v>
      </c>
      <c r="C117" s="536" t="e">
        <f>H67</f>
        <v>#N/A</v>
      </c>
      <c r="D117" s="382"/>
      <c r="E117" s="382" t="e">
        <f>C115+C116</f>
        <v>#N/A</v>
      </c>
      <c r="F117" s="382"/>
      <c r="G117" s="382"/>
      <c r="H117" s="382"/>
      <c r="I117" s="382"/>
      <c r="J117" s="382"/>
      <c r="K117" s="382"/>
    </row>
    <row r="118" spans="2:11" ht="17.5" thickBot="1" x14ac:dyDescent="0.4">
      <c r="B118" s="525" t="s">
        <v>875</v>
      </c>
      <c r="C118" s="537" t="e">
        <f>F76</f>
        <v>#N/A</v>
      </c>
      <c r="D118" s="382"/>
      <c r="E118" s="382"/>
      <c r="F118" s="382"/>
      <c r="G118" s="382"/>
      <c r="H118" s="382"/>
      <c r="I118" s="382"/>
      <c r="J118" s="382"/>
      <c r="K118" s="382"/>
    </row>
    <row r="119" spans="2:11" ht="17.5" thickBot="1" x14ac:dyDescent="0.4">
      <c r="B119" s="528" t="s">
        <v>876</v>
      </c>
      <c r="C119" s="538" t="e">
        <f>F83</f>
        <v>#N/A</v>
      </c>
      <c r="D119" s="382"/>
      <c r="E119" s="382"/>
      <c r="F119" s="382"/>
      <c r="G119" s="382"/>
      <c r="H119" s="382"/>
      <c r="I119" s="382"/>
      <c r="J119" s="382"/>
      <c r="K119" s="382"/>
    </row>
    <row r="120" spans="2:11" ht="17.5" thickBot="1" x14ac:dyDescent="0.4">
      <c r="B120" s="525" t="s">
        <v>877</v>
      </c>
      <c r="C120" s="534" t="e">
        <f>F91</f>
        <v>#N/A</v>
      </c>
      <c r="D120" s="382"/>
      <c r="E120" s="382" t="e">
        <f>C118+C119+C120</f>
        <v>#N/A</v>
      </c>
      <c r="F120" s="382"/>
      <c r="G120" s="382"/>
      <c r="H120" s="382"/>
      <c r="I120" s="382"/>
      <c r="J120" s="382"/>
      <c r="K120" s="382"/>
    </row>
    <row r="121" spans="2:11" ht="17.5" thickBot="1" x14ac:dyDescent="0.4">
      <c r="B121" s="535" t="s">
        <v>878</v>
      </c>
      <c r="C121" s="536" t="e">
        <f>G76+G82+G91</f>
        <v>#N/A</v>
      </c>
      <c r="D121" s="382"/>
      <c r="E121" s="382"/>
      <c r="F121" s="382"/>
      <c r="G121" s="382"/>
      <c r="H121" s="382"/>
      <c r="I121" s="382"/>
      <c r="J121" s="382"/>
      <c r="K121" s="382"/>
    </row>
    <row r="122" spans="2:11" ht="17.5" thickBot="1" x14ac:dyDescent="0.4">
      <c r="B122" s="540" t="s">
        <v>879</v>
      </c>
      <c r="C122" s="541" t="e">
        <f>G93</f>
        <v>#N/A</v>
      </c>
      <c r="D122" s="382"/>
      <c r="E122" s="382"/>
      <c r="F122" s="382"/>
      <c r="G122" s="382"/>
      <c r="H122" s="382"/>
      <c r="I122" s="382"/>
      <c r="J122" s="382"/>
      <c r="K122" s="382"/>
    </row>
    <row r="123" spans="2:11" ht="17.5" thickBot="1" x14ac:dyDescent="0.4">
      <c r="B123" s="535" t="s">
        <v>880</v>
      </c>
      <c r="C123" s="536">
        <f>C5</f>
        <v>0</v>
      </c>
      <c r="D123" s="382"/>
      <c r="E123" s="382"/>
      <c r="F123" s="382"/>
      <c r="G123" s="382"/>
      <c r="H123" s="382"/>
      <c r="I123" s="382"/>
      <c r="J123" s="382"/>
      <c r="K123" s="382"/>
    </row>
    <row r="124" spans="2:11" ht="17.5" thickBot="1" x14ac:dyDescent="0.4">
      <c r="B124" s="530" t="s">
        <v>881</v>
      </c>
      <c r="C124" s="531"/>
      <c r="D124" s="382"/>
      <c r="E124" s="382"/>
      <c r="F124" s="382"/>
      <c r="G124" s="382"/>
      <c r="H124" s="382"/>
      <c r="I124" s="382"/>
      <c r="J124" s="382"/>
      <c r="K124" s="382"/>
    </row>
    <row r="125" spans="2:11" ht="17.5" thickBot="1" x14ac:dyDescent="0.4">
      <c r="B125" s="535" t="s">
        <v>882</v>
      </c>
      <c r="C125" s="536" t="e">
        <f>C103-C5</f>
        <v>#N/A</v>
      </c>
      <c r="D125" s="382"/>
      <c r="E125" s="382"/>
      <c r="F125" s="382"/>
      <c r="G125" s="382"/>
      <c r="H125" s="382"/>
      <c r="I125" s="382"/>
      <c r="J125" s="382"/>
      <c r="K125" s="382"/>
    </row>
    <row r="126" spans="2:11" ht="34.5" thickBot="1" x14ac:dyDescent="0.4">
      <c r="B126" s="540" t="s">
        <v>939</v>
      </c>
      <c r="C126" s="542" t="e">
        <f>C123+C125-C117-C121-C122</f>
        <v>#N/A</v>
      </c>
      <c r="D126" s="382"/>
      <c r="E126" s="382"/>
      <c r="F126" s="382"/>
      <c r="G126" s="382"/>
      <c r="H126" s="382"/>
    </row>
    <row r="127" spans="2:11" ht="15" thickBot="1" x14ac:dyDescent="0.4"/>
    <row r="128" spans="2:11" ht="17.5" thickBot="1" x14ac:dyDescent="0.4">
      <c r="B128" s="520" t="s">
        <v>884</v>
      </c>
      <c r="C128" s="521" t="s">
        <v>815</v>
      </c>
    </row>
    <row r="129" spans="2:3" ht="18" thickTop="1" thickBot="1" x14ac:dyDescent="0.4">
      <c r="B129" s="525" t="s">
        <v>885</v>
      </c>
      <c r="C129" s="526" t="e">
        <f>C106</f>
        <v>#N/A</v>
      </c>
    </row>
    <row r="130" spans="2:3" ht="17.5" thickBot="1" x14ac:dyDescent="0.4">
      <c r="B130" s="525" t="s">
        <v>865</v>
      </c>
      <c r="C130" s="526" t="e">
        <f>C107</f>
        <v>#N/A</v>
      </c>
    </row>
    <row r="131" spans="2:3" ht="17.5" thickBot="1" x14ac:dyDescent="0.4">
      <c r="B131" s="525" t="s">
        <v>867</v>
      </c>
      <c r="C131" s="526" t="e">
        <f>SUM(C65:C71)</f>
        <v>#N/A</v>
      </c>
    </row>
    <row r="132" spans="2:3" ht="17.5" thickBot="1" x14ac:dyDescent="0.4">
      <c r="B132" s="525" t="s">
        <v>868</v>
      </c>
      <c r="C132" s="526" t="e">
        <f>C110</f>
        <v>#N/A</v>
      </c>
    </row>
    <row r="133" spans="2:3" ht="17.5" thickBot="1" x14ac:dyDescent="0.4">
      <c r="B133" s="525" t="s">
        <v>869</v>
      </c>
      <c r="C133" s="526" t="e">
        <f>C111</f>
        <v>#N/A</v>
      </c>
    </row>
    <row r="134" spans="2:3" ht="17.5" thickBot="1" x14ac:dyDescent="0.4">
      <c r="B134" s="520" t="s">
        <v>886</v>
      </c>
      <c r="C134" s="521" t="s">
        <v>815</v>
      </c>
    </row>
    <row r="135" spans="2:3" ht="18" thickTop="1" thickBot="1" x14ac:dyDescent="0.4">
      <c r="B135" s="530" t="s">
        <v>871</v>
      </c>
      <c r="C135" s="531"/>
    </row>
    <row r="136" spans="2:3" ht="17.5" thickBot="1" x14ac:dyDescent="0.4">
      <c r="B136" s="525" t="s">
        <v>887</v>
      </c>
      <c r="C136" s="543" t="e">
        <f>C115+C116</f>
        <v>#N/A</v>
      </c>
    </row>
    <row r="137" spans="2:3" ht="34.5" thickBot="1" x14ac:dyDescent="0.4">
      <c r="B137" s="525" t="s">
        <v>888</v>
      </c>
      <c r="C137" s="537" t="e">
        <f>C118+C119+C120</f>
        <v>#N/A</v>
      </c>
    </row>
    <row r="138" spans="2:3" ht="17.5" thickBot="1" x14ac:dyDescent="0.4">
      <c r="B138" s="530" t="s">
        <v>881</v>
      </c>
      <c r="C138" s="526"/>
    </row>
    <row r="139" spans="2:3" ht="17.5" thickBot="1" x14ac:dyDescent="0.4">
      <c r="B139" s="540" t="s">
        <v>889</v>
      </c>
      <c r="C139" s="544" t="e">
        <f>C100</f>
        <v>#N/A</v>
      </c>
    </row>
    <row r="140" spans="2:3" ht="17.5" thickBot="1" x14ac:dyDescent="0.4">
      <c r="B140" s="526" t="s">
        <v>890</v>
      </c>
      <c r="C140" s="543" t="e">
        <f>C102</f>
        <v>#N/A</v>
      </c>
    </row>
    <row r="141" spans="2:3" ht="17.5" thickBot="1" x14ac:dyDescent="0.4">
      <c r="B141" s="526" t="s">
        <v>891</v>
      </c>
      <c r="C141" s="543" t="e">
        <f>C139+C140</f>
        <v>#N/A</v>
      </c>
    </row>
    <row r="142" spans="2:3" ht="17.5" thickBot="1" x14ac:dyDescent="0.4">
      <c r="B142" s="540" t="s">
        <v>892</v>
      </c>
      <c r="C142" s="542" t="e">
        <f>C126</f>
        <v>#N/A</v>
      </c>
    </row>
  </sheetData>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5C22-450E-4E48-A3C6-EC776DE8A63D}">
  <sheetPr>
    <tabColor rgb="FF00B050"/>
  </sheetPr>
  <dimension ref="A1:S166"/>
  <sheetViews>
    <sheetView workbookViewId="0">
      <selection activeCell="C5" sqref="C5:F5"/>
    </sheetView>
  </sheetViews>
  <sheetFormatPr defaultColWidth="8.81640625" defaultRowHeight="14.5" x14ac:dyDescent="0.35"/>
  <cols>
    <col min="1" max="1" width="4.81640625" style="383" customWidth="1"/>
    <col min="2" max="2" width="55.453125" customWidth="1"/>
    <col min="3" max="3" width="15.1796875" style="382" customWidth="1"/>
    <col min="4" max="4" width="11.453125" style="383" customWidth="1"/>
    <col min="5" max="5" width="16.453125" customWidth="1"/>
    <col min="6" max="6" width="15.453125" customWidth="1"/>
    <col min="7" max="7" width="17.26953125" customWidth="1"/>
    <col min="8" max="8" width="14.453125" customWidth="1"/>
    <col min="9" max="9" width="12" customWidth="1"/>
    <col min="10" max="10" width="22.81640625" bestFit="1" customWidth="1"/>
    <col min="11" max="11" width="2.81640625" customWidth="1"/>
    <col min="12" max="12" width="40.1796875" customWidth="1"/>
    <col min="13" max="13" width="12.81640625" bestFit="1" customWidth="1"/>
    <col min="14" max="14" width="11.453125" customWidth="1"/>
    <col min="15" max="15" width="12.453125" customWidth="1"/>
    <col min="16" max="16" width="11" bestFit="1" customWidth="1"/>
    <col min="17" max="17" width="8.81640625" customWidth="1"/>
    <col min="20" max="21" width="8.81640625" customWidth="1"/>
    <col min="23" max="23" width="8.81640625" customWidth="1"/>
  </cols>
  <sheetData>
    <row r="1" spans="2:15" ht="15.5" x14ac:dyDescent="0.35">
      <c r="G1" s="384"/>
      <c r="L1" s="385" t="s">
        <v>631</v>
      </c>
      <c r="M1" s="386"/>
      <c r="N1" s="386"/>
    </row>
    <row r="2" spans="2:15" x14ac:dyDescent="0.35">
      <c r="B2" s="387"/>
      <c r="L2" s="388" t="s">
        <v>632</v>
      </c>
      <c r="M2" s="389">
        <v>30</v>
      </c>
      <c r="N2" s="388" t="s">
        <v>633</v>
      </c>
    </row>
    <row r="3" spans="2:15" ht="24" thickBot="1" x14ac:dyDescent="0.6">
      <c r="B3" s="390" t="s">
        <v>634</v>
      </c>
      <c r="E3" s="391" t="s">
        <v>635</v>
      </c>
      <c r="F3" s="391"/>
      <c r="G3" s="853" t="s">
        <v>636</v>
      </c>
      <c r="H3" s="853"/>
      <c r="I3" s="853"/>
      <c r="J3" s="853"/>
      <c r="L3" s="388" t="s">
        <v>637</v>
      </c>
      <c r="M3" s="389">
        <v>80</v>
      </c>
      <c r="N3" s="388" t="s">
        <v>633</v>
      </c>
    </row>
    <row r="4" spans="2:15" ht="15" thickTop="1" x14ac:dyDescent="0.35">
      <c r="B4" s="392" t="s">
        <v>638</v>
      </c>
      <c r="C4" s="393"/>
      <c r="E4" s="387" t="s">
        <v>639</v>
      </c>
      <c r="F4" s="394" t="e">
        <f>H91</f>
        <v>#N/A</v>
      </c>
      <c r="G4" s="395" t="s">
        <v>640</v>
      </c>
      <c r="H4" s="396" t="s">
        <v>544</v>
      </c>
      <c r="I4" s="396" t="s">
        <v>641</v>
      </c>
      <c r="J4" s="396" t="s">
        <v>642</v>
      </c>
      <c r="L4" s="388" t="s">
        <v>643</v>
      </c>
      <c r="M4" s="388">
        <f>M2*M9</f>
        <v>150</v>
      </c>
      <c r="N4" s="388" t="s">
        <v>633</v>
      </c>
    </row>
    <row r="5" spans="2:15" x14ac:dyDescent="0.35">
      <c r="B5" s="392" t="s">
        <v>644</v>
      </c>
      <c r="C5" s="713">
        <f>-Input!E38</f>
        <v>0</v>
      </c>
      <c r="E5" s="387" t="s">
        <v>547</v>
      </c>
      <c r="F5" s="394" t="e">
        <f>F121-H91</f>
        <v>#N/A</v>
      </c>
      <c r="G5" s="397" t="s">
        <v>645</v>
      </c>
      <c r="H5" s="568" t="e">
        <f>TonnageImpacts!N13*(AssumptionTables!C59/(AssumptionTables!C59+AssumptionTables!C53))</f>
        <v>#N/A</v>
      </c>
      <c r="I5" s="382">
        <v>1500</v>
      </c>
      <c r="J5" s="382" t="e">
        <f>H5/I5*2000</f>
        <v>#N/A</v>
      </c>
      <c r="L5" s="388" t="s">
        <v>646</v>
      </c>
      <c r="M5" s="398">
        <f>M4*M3</f>
        <v>12000</v>
      </c>
      <c r="N5" s="388" t="s">
        <v>647</v>
      </c>
    </row>
    <row r="6" spans="2:15" ht="15" thickBot="1" x14ac:dyDescent="0.4">
      <c r="B6" s="392" t="s">
        <v>648</v>
      </c>
      <c r="C6" s="693">
        <f>AssumptionTables!C65</f>
        <v>13</v>
      </c>
      <c r="E6" s="399" t="s">
        <v>73</v>
      </c>
      <c r="F6" s="400" t="e">
        <f>F4+F5</f>
        <v>#N/A</v>
      </c>
      <c r="G6" s="397" t="s">
        <v>649</v>
      </c>
      <c r="H6" s="568" t="e">
        <f>TonnageImpacts!N13-'ASP Model_YW+FW'!H5</f>
        <v>#N/A</v>
      </c>
      <c r="I6" s="382">
        <v>750</v>
      </c>
      <c r="J6" s="382" t="e">
        <f>H6/I6*2000</f>
        <v>#N/A</v>
      </c>
      <c r="L6" s="388" t="s">
        <v>646</v>
      </c>
      <c r="M6" s="401">
        <f>M5/43560</f>
        <v>0.27548209366391185</v>
      </c>
      <c r="N6" s="388" t="s">
        <v>650</v>
      </c>
    </row>
    <row r="7" spans="2:15" ht="15" thickTop="1" x14ac:dyDescent="0.35">
      <c r="B7" s="392" t="s">
        <v>651</v>
      </c>
      <c r="C7" s="393">
        <v>0</v>
      </c>
      <c r="E7" s="387" t="s">
        <v>437</v>
      </c>
      <c r="F7" s="394" t="e">
        <f>C127</f>
        <v>#N/A</v>
      </c>
      <c r="G7" s="402" t="s">
        <v>652</v>
      </c>
      <c r="H7" s="403" t="e">
        <f>H5+H6</f>
        <v>#N/A</v>
      </c>
      <c r="I7" s="404"/>
      <c r="J7" s="403" t="e">
        <f>SUM(J5:J6)</f>
        <v>#N/A</v>
      </c>
      <c r="L7" s="388" t="s">
        <v>653</v>
      </c>
      <c r="M7" s="389">
        <v>12</v>
      </c>
      <c r="N7" s="388" t="s">
        <v>633</v>
      </c>
    </row>
    <row r="8" spans="2:15" ht="15" thickBot="1" x14ac:dyDescent="0.4">
      <c r="B8" s="392" t="s">
        <v>654</v>
      </c>
      <c r="C8" s="393">
        <v>0</v>
      </c>
      <c r="E8" s="399" t="s">
        <v>655</v>
      </c>
      <c r="F8" s="400" t="e">
        <f>F7-F6</f>
        <v>#N/A</v>
      </c>
      <c r="G8" s="395"/>
      <c r="H8" s="405" t="e">
        <f>H7</f>
        <v>#N/A</v>
      </c>
      <c r="I8" s="406"/>
      <c r="J8" s="405" t="e">
        <f>H5</f>
        <v>#N/A</v>
      </c>
      <c r="L8" s="388" t="s">
        <v>656</v>
      </c>
      <c r="M8" s="407" t="s">
        <v>657</v>
      </c>
      <c r="N8" s="408">
        <v>1</v>
      </c>
    </row>
    <row r="9" spans="2:15" ht="15" thickTop="1" x14ac:dyDescent="0.35">
      <c r="B9" s="392" t="s">
        <v>654</v>
      </c>
      <c r="C9" s="393">
        <v>0</v>
      </c>
      <c r="G9" s="395" t="s">
        <v>658</v>
      </c>
      <c r="H9" s="602" t="e">
        <f>ROUND(H8/M18,0)</f>
        <v>#N/A</v>
      </c>
      <c r="I9" s="410" t="e">
        <f>(H8/M18)</f>
        <v>#N/A</v>
      </c>
      <c r="J9" s="411" t="e">
        <f>J8/O13</f>
        <v>#N/A</v>
      </c>
      <c r="L9" s="388" t="s">
        <v>659</v>
      </c>
      <c r="M9" s="412">
        <v>5</v>
      </c>
      <c r="N9" s="388" t="s">
        <v>660</v>
      </c>
    </row>
    <row r="10" spans="2:15" x14ac:dyDescent="0.35">
      <c r="B10" s="392" t="s">
        <v>661</v>
      </c>
      <c r="C10" s="692" t="e">
        <f>H8</f>
        <v>#N/A</v>
      </c>
      <c r="D10" s="413"/>
      <c r="E10" s="387" t="s">
        <v>662</v>
      </c>
      <c r="F10" s="394" t="e">
        <f>-C125/C15</f>
        <v>#N/A</v>
      </c>
      <c r="G10" s="395" t="s">
        <v>663</v>
      </c>
      <c r="H10" s="414" t="e">
        <f>ROUND(H9*M6,1)</f>
        <v>#N/A</v>
      </c>
      <c r="L10" s="388" t="s">
        <v>664</v>
      </c>
      <c r="M10" s="415">
        <f>((M3-2*M7*N8)*(M2-2*M7*N8)+(M3*M2))/2*M7/27</f>
        <v>608</v>
      </c>
      <c r="N10" s="388" t="s">
        <v>665</v>
      </c>
    </row>
    <row r="11" spans="2:15" x14ac:dyDescent="0.35">
      <c r="B11" s="392" t="s">
        <v>666</v>
      </c>
      <c r="C11" s="416">
        <v>0</v>
      </c>
      <c r="E11" s="387" t="s">
        <v>667</v>
      </c>
      <c r="F11" s="417">
        <f>C7</f>
        <v>0</v>
      </c>
      <c r="G11" s="395" t="s">
        <v>668</v>
      </c>
      <c r="H11" s="405" t="e">
        <f>H9*M9</f>
        <v>#N/A</v>
      </c>
      <c r="L11" s="388" t="s">
        <v>669</v>
      </c>
      <c r="M11" s="415">
        <f>(((M3-2*M7*N8)*(M2*2-2*M7*N8)+(M3*M2*2))/2*M7/27)-(((M3-2*M7*N8)*(M2-2*M7*N8)+(M3*M2))/2*M7/27)</f>
        <v>906.66666666666674</v>
      </c>
      <c r="N11" s="388" t="s">
        <v>665</v>
      </c>
    </row>
    <row r="12" spans="2:15" ht="15" thickBot="1" x14ac:dyDescent="0.4">
      <c r="B12" s="392" t="s">
        <v>670</v>
      </c>
      <c r="C12" s="418" t="e">
        <f>ROUNDUP(C10/C15,0)</f>
        <v>#N/A</v>
      </c>
      <c r="E12" s="399" t="s">
        <v>671</v>
      </c>
      <c r="F12" s="400" t="e">
        <f>F8+F10+F11</f>
        <v>#N/A</v>
      </c>
      <c r="G12" s="395" t="s">
        <v>672</v>
      </c>
      <c r="H12" s="409" t="e">
        <f>C32</f>
        <v>#N/A</v>
      </c>
      <c r="L12" s="388" t="s">
        <v>673</v>
      </c>
      <c r="M12" s="415">
        <f>(M10+M11*(M9-1))/M9</f>
        <v>846.93333333333339</v>
      </c>
      <c r="N12" s="388" t="s">
        <v>665</v>
      </c>
    </row>
    <row r="13" spans="2:15" ht="15" thickTop="1" x14ac:dyDescent="0.35">
      <c r="B13" s="392" t="s">
        <v>674</v>
      </c>
      <c r="C13" s="418">
        <v>0</v>
      </c>
      <c r="J13" s="410"/>
      <c r="L13" s="419" t="s">
        <v>673</v>
      </c>
      <c r="M13" s="420">
        <f>M12</f>
        <v>846.93333333333339</v>
      </c>
      <c r="N13" s="419" t="s">
        <v>665</v>
      </c>
      <c r="O13" s="410">
        <f>M14*365/M16*M17/100</f>
        <v>37537.295238095241</v>
      </c>
    </row>
    <row r="14" spans="2:15" ht="15" thickBot="1" x14ac:dyDescent="0.4">
      <c r="B14" s="392" t="s">
        <v>412</v>
      </c>
      <c r="C14" s="569">
        <f>Interest_Rate</f>
        <v>0.03</v>
      </c>
      <c r="E14" s="399" t="s">
        <v>675</v>
      </c>
      <c r="F14" s="421" t="e">
        <f>F12*C10</f>
        <v>#N/A</v>
      </c>
      <c r="L14" s="388" t="s">
        <v>676</v>
      </c>
      <c r="M14" s="422">
        <f>M10+M11*(M9-1)</f>
        <v>4234.666666666667</v>
      </c>
      <c r="N14" s="388" t="s">
        <v>677</v>
      </c>
    </row>
    <row r="15" spans="2:15" ht="15" thickTop="1" x14ac:dyDescent="0.35">
      <c r="B15" s="392" t="s">
        <v>678</v>
      </c>
      <c r="C15" s="418" t="e">
        <f>C10*2</f>
        <v>#N/A</v>
      </c>
      <c r="E15" s="423"/>
      <c r="F15" s="424"/>
      <c r="L15" s="388" t="s">
        <v>679</v>
      </c>
      <c r="M15" s="422">
        <f>M14*500/2000</f>
        <v>1058.6666666666667</v>
      </c>
      <c r="N15" s="388" t="s">
        <v>544</v>
      </c>
    </row>
    <row r="16" spans="2:15" x14ac:dyDescent="0.35">
      <c r="E16" s="425"/>
      <c r="L16" s="388" t="s">
        <v>680</v>
      </c>
      <c r="M16" s="422">
        <v>35</v>
      </c>
      <c r="N16" s="388" t="s">
        <v>681</v>
      </c>
    </row>
    <row r="17" spans="1:16" ht="20" thickBot="1" x14ac:dyDescent="0.5">
      <c r="B17" s="426" t="s">
        <v>682</v>
      </c>
      <c r="C17" s="427"/>
      <c r="D17" s="428"/>
      <c r="E17" s="426"/>
      <c r="F17" s="426"/>
      <c r="G17" s="426"/>
      <c r="H17" s="426"/>
      <c r="L17" s="388" t="s">
        <v>683</v>
      </c>
      <c r="M17" s="429">
        <v>85</v>
      </c>
      <c r="N17" s="388" t="s">
        <v>684</v>
      </c>
    </row>
    <row r="18" spans="1:16" ht="30.5" thickTop="1" thickBot="1" x14ac:dyDescent="0.45">
      <c r="B18" s="430" t="s">
        <v>685</v>
      </c>
      <c r="C18" s="431" t="s">
        <v>686</v>
      </c>
      <c r="D18" s="432" t="s">
        <v>687</v>
      </c>
      <c r="E18" s="432" t="s">
        <v>688</v>
      </c>
      <c r="F18" s="432" t="s">
        <v>548</v>
      </c>
      <c r="G18" s="432" t="s">
        <v>689</v>
      </c>
      <c r="H18" s="433" t="s">
        <v>690</v>
      </c>
      <c r="L18" s="388" t="s">
        <v>679</v>
      </c>
      <c r="M18" s="422">
        <f>M15*365/M16*M17/100</f>
        <v>9384.3238095238103</v>
      </c>
      <c r="N18" s="388" t="s">
        <v>435</v>
      </c>
      <c r="O18">
        <f>M18/M15</f>
        <v>8.8642857142857139</v>
      </c>
      <c r="P18" s="410">
        <f>M18*2</f>
        <v>18768.647619047621</v>
      </c>
    </row>
    <row r="19" spans="1:16" ht="15" thickTop="1" x14ac:dyDescent="0.35">
      <c r="A19" s="383" t="s">
        <v>490</v>
      </c>
      <c r="B19" t="s">
        <v>691</v>
      </c>
      <c r="C19" s="568" t="e">
        <f>IF(J7&gt;50000,2,1)</f>
        <v>#N/A</v>
      </c>
      <c r="D19" s="383" t="s">
        <v>692</v>
      </c>
      <c r="E19" s="434">
        <v>165000</v>
      </c>
      <c r="F19" s="434" t="e">
        <f>IF(A19="x",C19*E19,0)</f>
        <v>#N/A</v>
      </c>
      <c r="G19" s="382">
        <f>Rolling_Stock_Amortisation</f>
        <v>8</v>
      </c>
      <c r="H19" s="434" t="e">
        <f t="shared" ref="H19:H26" si="0">PMT($C$14, G19, -F19)</f>
        <v>#N/A</v>
      </c>
      <c r="I19" t="s">
        <v>693</v>
      </c>
      <c r="M19" s="435">
        <f>M14*365/M16*M17/100</f>
        <v>37537.295238095241</v>
      </c>
      <c r="N19" s="436" t="s">
        <v>694</v>
      </c>
      <c r="P19" s="410">
        <f>P18*0.85</f>
        <v>15953.350476190477</v>
      </c>
    </row>
    <row r="20" spans="1:16" x14ac:dyDescent="0.35">
      <c r="B20" t="s">
        <v>695</v>
      </c>
      <c r="C20" s="382">
        <v>1</v>
      </c>
      <c r="D20" s="383" t="s">
        <v>692</v>
      </c>
      <c r="E20" s="434">
        <v>165000</v>
      </c>
      <c r="F20" s="434">
        <f>IF(A20="x",C20*E20,0)</f>
        <v>0</v>
      </c>
      <c r="G20" s="382">
        <f>Rolling_Stock_Amortisation</f>
        <v>8</v>
      </c>
      <c r="H20" s="434">
        <f t="shared" si="0"/>
        <v>0</v>
      </c>
      <c r="I20" t="s">
        <v>693</v>
      </c>
      <c r="M20" s="437"/>
    </row>
    <row r="21" spans="1:16" x14ac:dyDescent="0.35">
      <c r="A21" s="383" t="s">
        <v>490</v>
      </c>
      <c r="B21" t="s">
        <v>696</v>
      </c>
      <c r="C21" s="382">
        <v>1</v>
      </c>
      <c r="D21" s="383" t="s">
        <v>692</v>
      </c>
      <c r="E21" s="434">
        <v>50000</v>
      </c>
      <c r="F21" s="434">
        <f>IF(A21="x",C21*E21,0)</f>
        <v>50000</v>
      </c>
      <c r="G21" s="382">
        <f>Rolling_Stock_Amortisation</f>
        <v>8</v>
      </c>
      <c r="H21" s="434">
        <f t="shared" si="0"/>
        <v>7122.8194413619585</v>
      </c>
      <c r="I21" t="s">
        <v>697</v>
      </c>
    </row>
    <row r="22" spans="1:16" x14ac:dyDescent="0.35">
      <c r="A22" s="383" t="s">
        <v>490</v>
      </c>
      <c r="B22" t="s">
        <v>698</v>
      </c>
      <c r="C22" s="438">
        <v>1</v>
      </c>
      <c r="D22" s="383" t="s">
        <v>692</v>
      </c>
      <c r="E22" s="599" t="e">
        <f>IF('Compost Equip'!J6&gt;10,'Compost Equip'!J4,IF('Compost Equip'!I6&gt;10,'Compost Equip'!I4,IF('Compost Equip'!H6&gt;10,'Compost Equip'!H4,IF('Compost Equip'!G6&gt;10,'Compost Equip'!G4,IF('Compost Equip'!F6&gt;10,'Compost Equip'!F4,IF('Compost Equip'!E6&gt;10,'Compost Equip'!E4,IF('Compost Equip'!D6&gt;10,'Compost Equip'!D4,'Compost Equip'!C4)))))))</f>
        <v>#N/A</v>
      </c>
      <c r="F22" s="434" t="e">
        <f t="shared" ref="F22:F28" si="1">IF(A22="x",C22*E22,0)</f>
        <v>#N/A</v>
      </c>
      <c r="G22" s="382">
        <f>Equipment_Amortisation</f>
        <v>10</v>
      </c>
      <c r="H22" s="434" t="e">
        <f t="shared" si="0"/>
        <v>#N/A</v>
      </c>
      <c r="I22" t="s">
        <v>699</v>
      </c>
    </row>
    <row r="23" spans="1:16" x14ac:dyDescent="0.35">
      <c r="A23" s="383" t="s">
        <v>490</v>
      </c>
      <c r="B23" s="559" t="s">
        <v>700</v>
      </c>
      <c r="C23" s="438">
        <v>1</v>
      </c>
      <c r="D23" s="383" t="s">
        <v>692</v>
      </c>
      <c r="E23" s="439" t="e">
        <f>IF('Compost Equip'!J13&gt;10,'Compost Equip'!J11,IF('Compost Equip'!I13&gt;10,'Compost Equip'!I11,IF('Compost Equip'!H13&gt;10,'Compost Equip'!H11,IF('Compost Equip'!G13&gt;10,'Compost Equip'!G11,IF('Compost Equip'!F13&gt;10,'Compost Equip'!F11,IF('Compost Equip'!E13&gt;10,'Compost Equip'!E11,IF('Compost Equip'!D13&gt;10,'Compost Equip'!D11,'Compost Equip'!C11)))))))</f>
        <v>#N/A</v>
      </c>
      <c r="F23" s="434" t="e">
        <f>IF(A23="x",C23*E23,0)</f>
        <v>#N/A</v>
      </c>
      <c r="G23" s="382">
        <f>Equipment_Amortisation</f>
        <v>10</v>
      </c>
      <c r="H23" s="434" t="e">
        <f>PMT($C$14, G23, -F23)</f>
        <v>#N/A</v>
      </c>
      <c r="I23" t="s">
        <v>701</v>
      </c>
    </row>
    <row r="24" spans="1:16" x14ac:dyDescent="0.35">
      <c r="A24" s="383" t="s">
        <v>490</v>
      </c>
      <c r="B24" t="s">
        <v>702</v>
      </c>
      <c r="C24" s="382">
        <v>1</v>
      </c>
      <c r="D24" s="383" t="s">
        <v>692</v>
      </c>
      <c r="E24" s="439" t="e">
        <f>IF('Compost Equip'!J18&gt;20,'Compost Equip'!J16,IF('Compost Equip'!I18&gt;20,'Compost Equip'!I16,IF('Compost Equip'!H18&gt;20,'Compost Equip'!H16,IF('Compost Equip'!G18&gt;20,'Compost Equip'!G16,IF('Compost Equip'!F18&gt;20,'Compost Equip'!F16,IF('Compost Equip'!E18&gt;20,'Compost Equip'!E16,IF('Compost Equip'!D18&gt;20,'Compost Equip'!D16,'Compost Equip'!C16)))))))</f>
        <v>#N/A</v>
      </c>
      <c r="F24" s="434" t="e">
        <f t="shared" si="1"/>
        <v>#N/A</v>
      </c>
      <c r="G24" s="382">
        <f>Equipment_Amortisation</f>
        <v>10</v>
      </c>
      <c r="H24" s="434" t="e">
        <f t="shared" si="0"/>
        <v>#N/A</v>
      </c>
      <c r="I24" t="s">
        <v>703</v>
      </c>
    </row>
    <row r="25" spans="1:16" x14ac:dyDescent="0.35">
      <c r="B25" t="s">
        <v>704</v>
      </c>
      <c r="C25" s="382">
        <v>1</v>
      </c>
      <c r="D25" s="383" t="s">
        <v>692</v>
      </c>
      <c r="E25" s="434">
        <v>50000</v>
      </c>
      <c r="F25" s="434">
        <f t="shared" si="1"/>
        <v>0</v>
      </c>
      <c r="G25" s="382">
        <f>Rolling_Stock_Amortisation</f>
        <v>8</v>
      </c>
      <c r="H25" s="434">
        <f t="shared" si="0"/>
        <v>0</v>
      </c>
      <c r="I25" t="s">
        <v>705</v>
      </c>
    </row>
    <row r="26" spans="1:16" x14ac:dyDescent="0.35">
      <c r="A26" s="383" t="s">
        <v>490</v>
      </c>
      <c r="B26" t="s">
        <v>706</v>
      </c>
      <c r="C26" s="382">
        <v>1</v>
      </c>
      <c r="D26" s="383" t="s">
        <v>692</v>
      </c>
      <c r="E26" s="441">
        <v>40000</v>
      </c>
      <c r="F26" s="434">
        <f t="shared" si="1"/>
        <v>40000</v>
      </c>
      <c r="G26" s="382">
        <f>Rolling_Stock_Amortisation</f>
        <v>8</v>
      </c>
      <c r="H26" s="434">
        <f t="shared" si="0"/>
        <v>5698.255553089567</v>
      </c>
      <c r="I26" t="s">
        <v>707</v>
      </c>
      <c r="J26" s="434"/>
    </row>
    <row r="27" spans="1:16" x14ac:dyDescent="0.35">
      <c r="A27" s="383" t="s">
        <v>490</v>
      </c>
      <c r="B27" s="442" t="s">
        <v>708</v>
      </c>
      <c r="C27" s="382">
        <v>1</v>
      </c>
      <c r="D27" s="383" t="s">
        <v>692</v>
      </c>
      <c r="E27" s="443">
        <f>M55</f>
        <v>20000</v>
      </c>
      <c r="F27" s="434">
        <f t="shared" si="1"/>
        <v>20000</v>
      </c>
      <c r="G27" s="382">
        <f>Equipment_Amortisation</f>
        <v>10</v>
      </c>
      <c r="H27" s="434">
        <f>PMT($C$14, G27, -F27)</f>
        <v>2344.610132103192</v>
      </c>
      <c r="J27" s="443"/>
    </row>
    <row r="28" spans="1:16" x14ac:dyDescent="0.35">
      <c r="A28" s="383" t="s">
        <v>490</v>
      </c>
      <c r="B28" t="s">
        <v>709</v>
      </c>
      <c r="C28" s="382">
        <v>1</v>
      </c>
      <c r="D28" s="383" t="s">
        <v>710</v>
      </c>
      <c r="E28" s="434">
        <v>10000</v>
      </c>
      <c r="F28" s="434">
        <f t="shared" si="1"/>
        <v>10000</v>
      </c>
      <c r="G28" s="382">
        <f>Equipment_Amortisation</f>
        <v>10</v>
      </c>
      <c r="H28" s="434">
        <f>PMT($C$14, G28, -F28)</f>
        <v>1172.305066051596</v>
      </c>
      <c r="J28" s="443"/>
    </row>
    <row r="29" spans="1:16" ht="15" thickBot="1" x14ac:dyDescent="0.4">
      <c r="E29" s="421" t="s">
        <v>711</v>
      </c>
      <c r="F29" s="444" t="e">
        <f>SUM(F19:F28)</f>
        <v>#N/A</v>
      </c>
      <c r="G29" s="421" t="s">
        <v>711</v>
      </c>
      <c r="H29" s="444" t="e">
        <f>SUM(H19:H28)</f>
        <v>#N/A</v>
      </c>
      <c r="J29" s="443"/>
    </row>
    <row r="30" spans="1:16" ht="18" thickTop="1" thickBot="1" x14ac:dyDescent="0.45">
      <c r="B30" s="391" t="s">
        <v>712</v>
      </c>
      <c r="C30" s="445"/>
      <c r="D30" s="446"/>
      <c r="E30" s="391"/>
      <c r="F30" s="391"/>
      <c r="G30" s="391"/>
      <c r="H30" s="391"/>
      <c r="J30" s="443"/>
      <c r="L30" s="854" t="s">
        <v>713</v>
      </c>
      <c r="M30" s="855"/>
      <c r="N30" s="447"/>
    </row>
    <row r="31" spans="1:16" ht="15" thickTop="1" x14ac:dyDescent="0.35">
      <c r="B31" s="448" t="s">
        <v>714</v>
      </c>
      <c r="E31" s="417"/>
      <c r="F31" s="434"/>
      <c r="G31" s="382"/>
      <c r="H31" s="434"/>
      <c r="J31" s="434"/>
      <c r="L31" s="449" t="s">
        <v>715</v>
      </c>
      <c r="M31" s="450">
        <f>M35/43560</f>
        <v>2.5</v>
      </c>
      <c r="N31" s="442" t="s">
        <v>716</v>
      </c>
    </row>
    <row r="32" spans="1:16" x14ac:dyDescent="0.35">
      <c r="A32" s="383" t="s">
        <v>490</v>
      </c>
      <c r="B32" s="451" t="s">
        <v>717</v>
      </c>
      <c r="C32" s="452" t="e">
        <f>ROUND(C34+C39+C40/43560,1)</f>
        <v>#N/A</v>
      </c>
      <c r="D32" s="383" t="s">
        <v>718</v>
      </c>
      <c r="E32" s="434">
        <v>1500</v>
      </c>
      <c r="F32" s="434" t="e">
        <f t="shared" ref="F32:F42" si="2">IF(A32="x",C32*E32,0)</f>
        <v>#N/A</v>
      </c>
      <c r="G32" s="382">
        <f t="shared" ref="G32:G43" si="3">Building_Cost_Amortisation</f>
        <v>20</v>
      </c>
      <c r="H32" s="434" t="e">
        <f>PMT($C$14, G32, -F32)</f>
        <v>#N/A</v>
      </c>
      <c r="J32" s="434"/>
      <c r="L32" s="449" t="s">
        <v>719</v>
      </c>
      <c r="M32" s="442">
        <f>M36/43560</f>
        <v>12.243648607284971</v>
      </c>
      <c r="N32" s="442" t="s">
        <v>716</v>
      </c>
      <c r="O32" t="s">
        <v>720</v>
      </c>
    </row>
    <row r="33" spans="1:15" x14ac:dyDescent="0.35">
      <c r="A33" s="383" t="s">
        <v>490</v>
      </c>
      <c r="B33" s="451" t="s">
        <v>721</v>
      </c>
      <c r="C33" s="452" t="e">
        <f>Site_Area</f>
        <v>#N/A</v>
      </c>
      <c r="D33" s="383" t="s">
        <v>718</v>
      </c>
      <c r="E33" s="434">
        <v>2500</v>
      </c>
      <c r="F33" s="434" t="e">
        <f t="shared" si="2"/>
        <v>#N/A</v>
      </c>
      <c r="G33" s="382">
        <f t="shared" si="3"/>
        <v>20</v>
      </c>
      <c r="H33" s="434" t="e">
        <f t="shared" ref="H33:H40" si="4">PMT($C$14, G33, -F33)</f>
        <v>#N/A</v>
      </c>
      <c r="J33" s="434"/>
      <c r="L33" s="449" t="s">
        <v>722</v>
      </c>
      <c r="M33" s="442">
        <f>132314/4.5</f>
        <v>29403.111111111109</v>
      </c>
      <c r="N33" s="442" t="s">
        <v>723</v>
      </c>
      <c r="O33" t="s">
        <v>724</v>
      </c>
    </row>
    <row r="34" spans="1:15" x14ac:dyDescent="0.35">
      <c r="A34" s="383" t="s">
        <v>490</v>
      </c>
      <c r="B34" t="s">
        <v>725</v>
      </c>
      <c r="C34" s="452" t="e">
        <f>C35+C37</f>
        <v>#N/A</v>
      </c>
      <c r="D34" s="383" t="s">
        <v>718</v>
      </c>
      <c r="E34" s="434">
        <f>2*43560</f>
        <v>87120</v>
      </c>
      <c r="F34" s="434" t="e">
        <f>IF(A34="x",C34*E34,0)</f>
        <v>#N/A</v>
      </c>
      <c r="G34" s="382">
        <f t="shared" si="3"/>
        <v>20</v>
      </c>
      <c r="H34" s="434" t="e">
        <f t="shared" si="4"/>
        <v>#N/A</v>
      </c>
      <c r="I34" t="e">
        <f>1.5*#REF!</f>
        <v>#REF!</v>
      </c>
      <c r="L34" s="449" t="s">
        <v>722</v>
      </c>
      <c r="M34" s="442">
        <f>588060/16.5</f>
        <v>35640</v>
      </c>
      <c r="N34" s="442" t="s">
        <v>723</v>
      </c>
      <c r="O34" t="s">
        <v>726</v>
      </c>
    </row>
    <row r="35" spans="1:15" x14ac:dyDescent="0.35">
      <c r="B35" t="s">
        <v>727</v>
      </c>
      <c r="C35" s="452" t="e">
        <f>H10</f>
        <v>#N/A</v>
      </c>
      <c r="D35" s="383" t="s">
        <v>718</v>
      </c>
      <c r="E35" s="434">
        <v>533333</v>
      </c>
      <c r="F35" s="434">
        <f t="shared" si="2"/>
        <v>0</v>
      </c>
      <c r="G35" s="382">
        <f t="shared" si="3"/>
        <v>20</v>
      </c>
      <c r="H35" s="434">
        <f t="shared" si="4"/>
        <v>0</v>
      </c>
      <c r="L35" s="449" t="s">
        <v>715</v>
      </c>
      <c r="M35" s="442">
        <f>490050/4.5</f>
        <v>108900</v>
      </c>
      <c r="N35" s="442" t="s">
        <v>723</v>
      </c>
      <c r="O35" t="s">
        <v>728</v>
      </c>
    </row>
    <row r="36" spans="1:15" x14ac:dyDescent="0.35">
      <c r="A36" s="383" t="s">
        <v>490</v>
      </c>
      <c r="B36" t="s">
        <v>729</v>
      </c>
      <c r="C36" s="452" t="e">
        <f>C35</f>
        <v>#N/A</v>
      </c>
      <c r="D36" s="383" t="s">
        <v>718</v>
      </c>
      <c r="E36" s="434">
        <v>108900</v>
      </c>
      <c r="F36" s="434" t="e">
        <f>IF(A36="x",C36*E36,0)</f>
        <v>#N/A</v>
      </c>
      <c r="G36" s="382">
        <f t="shared" si="3"/>
        <v>20</v>
      </c>
      <c r="H36" s="434" t="e">
        <f t="shared" si="4"/>
        <v>#N/A</v>
      </c>
      <c r="L36" s="449" t="s">
        <v>719</v>
      </c>
      <c r="M36" s="442">
        <f>2400000/4.5</f>
        <v>533333.33333333337</v>
      </c>
      <c r="N36" s="442" t="s">
        <v>723</v>
      </c>
      <c r="O36" s="442" t="s">
        <v>730</v>
      </c>
    </row>
    <row r="37" spans="1:15" x14ac:dyDescent="0.35">
      <c r="B37" t="s">
        <v>731</v>
      </c>
      <c r="C37" s="452" t="e">
        <f>C35</f>
        <v>#N/A</v>
      </c>
      <c r="D37" s="383" t="s">
        <v>718</v>
      </c>
      <c r="E37" s="434">
        <v>533334</v>
      </c>
      <c r="F37" s="434">
        <f t="shared" si="2"/>
        <v>0</v>
      </c>
      <c r="G37" s="382">
        <f t="shared" si="3"/>
        <v>20</v>
      </c>
      <c r="H37" s="434">
        <f t="shared" si="4"/>
        <v>0</v>
      </c>
      <c r="I37" s="410">
        <f>C40/43000</f>
        <v>0.58139534883720934</v>
      </c>
      <c r="L37" s="442" t="s">
        <v>732</v>
      </c>
      <c r="M37" s="442">
        <v>450</v>
      </c>
      <c r="N37" s="442" t="s">
        <v>733</v>
      </c>
    </row>
    <row r="38" spans="1:15" x14ac:dyDescent="0.35">
      <c r="A38" s="383" t="s">
        <v>490</v>
      </c>
      <c r="B38" t="s">
        <v>734</v>
      </c>
      <c r="C38" s="452" t="e">
        <f>C37</f>
        <v>#N/A</v>
      </c>
      <c r="D38" s="383" t="s">
        <v>718</v>
      </c>
      <c r="E38" s="434">
        <v>108900</v>
      </c>
      <c r="F38" s="434" t="e">
        <f t="shared" si="2"/>
        <v>#N/A</v>
      </c>
      <c r="G38" s="382">
        <f t="shared" si="3"/>
        <v>20</v>
      </c>
      <c r="H38" s="434" t="e">
        <f t="shared" si="4"/>
        <v>#N/A</v>
      </c>
      <c r="L38" s="453" t="s">
        <v>735</v>
      </c>
      <c r="M38" s="442">
        <v>1500</v>
      </c>
      <c r="N38" s="442" t="s">
        <v>723</v>
      </c>
    </row>
    <row r="39" spans="1:15" x14ac:dyDescent="0.35">
      <c r="A39" s="383" t="s">
        <v>490</v>
      </c>
      <c r="B39" t="s">
        <v>736</v>
      </c>
      <c r="C39" s="452" t="e">
        <f>C37</f>
        <v>#N/A</v>
      </c>
      <c r="D39" s="383" t="s">
        <v>718</v>
      </c>
      <c r="E39" s="417">
        <v>35640</v>
      </c>
      <c r="F39" s="434" t="e">
        <f t="shared" si="2"/>
        <v>#N/A</v>
      </c>
      <c r="G39" s="382">
        <f t="shared" si="3"/>
        <v>20</v>
      </c>
      <c r="H39" s="434" t="e">
        <f t="shared" si="4"/>
        <v>#N/A</v>
      </c>
      <c r="I39" s="410">
        <f>C42/43000</f>
        <v>0.11627906976744186</v>
      </c>
      <c r="L39" s="453" t="s">
        <v>737</v>
      </c>
      <c r="M39" s="454">
        <v>2500</v>
      </c>
      <c r="N39" s="454" t="s">
        <v>723</v>
      </c>
    </row>
    <row r="40" spans="1:15" x14ac:dyDescent="0.35">
      <c r="A40" s="383" t="s">
        <v>490</v>
      </c>
      <c r="B40" t="s">
        <v>738</v>
      </c>
      <c r="C40" s="455">
        <f>C41+C42</f>
        <v>25000</v>
      </c>
      <c r="D40" s="383" t="s">
        <v>647</v>
      </c>
      <c r="E40" s="456">
        <f>29403/43560</f>
        <v>0.67500000000000004</v>
      </c>
      <c r="F40" s="434">
        <f t="shared" si="2"/>
        <v>16875</v>
      </c>
      <c r="G40" s="382">
        <f t="shared" si="3"/>
        <v>20</v>
      </c>
      <c r="H40" s="434">
        <f t="shared" si="4"/>
        <v>1134.2650656969979</v>
      </c>
      <c r="I40" s="410"/>
      <c r="L40" s="453" t="s">
        <v>739</v>
      </c>
      <c r="M40" s="454">
        <f>43560*1.2</f>
        <v>52272</v>
      </c>
      <c r="N40" s="454" t="s">
        <v>723</v>
      </c>
      <c r="O40" t="s">
        <v>740</v>
      </c>
    </row>
    <row r="41" spans="1:15" x14ac:dyDescent="0.35">
      <c r="A41" s="383" t="s">
        <v>490</v>
      </c>
      <c r="B41" t="s">
        <v>741</v>
      </c>
      <c r="C41" s="457">
        <v>20000</v>
      </c>
      <c r="D41" s="383" t="s">
        <v>647</v>
      </c>
      <c r="E41" s="456">
        <f>108900/43560</f>
        <v>2.5</v>
      </c>
      <c r="F41" s="434">
        <f t="shared" si="2"/>
        <v>50000</v>
      </c>
      <c r="G41" s="382">
        <f t="shared" si="3"/>
        <v>20</v>
      </c>
      <c r="H41" s="434">
        <f>PMT($C$14, G41, -F41)</f>
        <v>3360.785379842956</v>
      </c>
      <c r="I41" s="410"/>
      <c r="L41" s="453" t="s">
        <v>742</v>
      </c>
      <c r="M41" s="454">
        <f>135111*43560/74408</f>
        <v>79096.806257391683</v>
      </c>
      <c r="N41" s="454" t="s">
        <v>723</v>
      </c>
    </row>
    <row r="42" spans="1:15" x14ac:dyDescent="0.35">
      <c r="A42" s="383" t="s">
        <v>490</v>
      </c>
      <c r="B42" t="s">
        <v>743</v>
      </c>
      <c r="C42" s="458">
        <f>100*50</f>
        <v>5000</v>
      </c>
      <c r="D42" s="383" t="s">
        <v>647</v>
      </c>
      <c r="E42" s="459">
        <v>40</v>
      </c>
      <c r="F42" s="434">
        <f t="shared" si="2"/>
        <v>200000</v>
      </c>
      <c r="G42" s="382">
        <f t="shared" si="3"/>
        <v>20</v>
      </c>
      <c r="H42" s="434">
        <f>PMT($C$14, G42, -F42)</f>
        <v>13443.141519371824</v>
      </c>
      <c r="I42" s="410"/>
      <c r="L42" s="453" t="s">
        <v>744</v>
      </c>
      <c r="M42" s="454">
        <v>25000</v>
      </c>
      <c r="N42" s="454" t="s">
        <v>745</v>
      </c>
    </row>
    <row r="43" spans="1:15" x14ac:dyDescent="0.35">
      <c r="A43" s="383" t="s">
        <v>490</v>
      </c>
      <c r="B43" t="s">
        <v>746</v>
      </c>
      <c r="C43" s="438">
        <v>1</v>
      </c>
      <c r="D43" s="383" t="s">
        <v>710</v>
      </c>
      <c r="E43" s="460">
        <v>40000</v>
      </c>
      <c r="F43" s="434">
        <f>IF(A43="x",C43*E43,0)</f>
        <v>40000</v>
      </c>
      <c r="G43" s="382">
        <f t="shared" si="3"/>
        <v>20</v>
      </c>
      <c r="H43" s="434">
        <f>PMT($C$14, G43, -F43)</f>
        <v>2688.628303874365</v>
      </c>
      <c r="I43" s="410"/>
      <c r="L43" s="454" t="s">
        <v>747</v>
      </c>
      <c r="M43" s="454">
        <v>15</v>
      </c>
      <c r="N43" s="454" t="s">
        <v>748</v>
      </c>
    </row>
    <row r="44" spans="1:15" x14ac:dyDescent="0.35">
      <c r="C44" s="455"/>
      <c r="E44" s="459"/>
      <c r="F44" s="434"/>
      <c r="G44" s="382"/>
      <c r="H44" s="434"/>
      <c r="I44" s="410"/>
      <c r="L44" s="454" t="s">
        <v>749</v>
      </c>
      <c r="M44" s="454">
        <v>25</v>
      </c>
      <c r="N44" s="454" t="s">
        <v>748</v>
      </c>
    </row>
    <row r="45" spans="1:15" x14ac:dyDescent="0.35">
      <c r="B45" s="448" t="s">
        <v>750</v>
      </c>
      <c r="C45" s="455"/>
      <c r="E45" s="459"/>
      <c r="F45" s="434"/>
      <c r="G45" s="382"/>
      <c r="H45" s="434"/>
      <c r="I45" s="410"/>
      <c r="L45" s="454"/>
      <c r="M45" s="454"/>
      <c r="N45" s="454"/>
    </row>
    <row r="46" spans="1:15" x14ac:dyDescent="0.35">
      <c r="A46" s="383" t="s">
        <v>490</v>
      </c>
      <c r="B46" t="s">
        <v>751</v>
      </c>
      <c r="C46" s="461" t="e">
        <f>C32/4</f>
        <v>#N/A</v>
      </c>
      <c r="D46" s="383" t="s">
        <v>718</v>
      </c>
      <c r="E46" s="462">
        <f>43560*1.2</f>
        <v>52272</v>
      </c>
      <c r="F46" s="434" t="e">
        <f t="shared" ref="F46:F48" si="5">IF(A46="x",C46*E46,0)</f>
        <v>#N/A</v>
      </c>
      <c r="G46" s="382">
        <f>Building_Cost_Amortisation</f>
        <v>20</v>
      </c>
      <c r="H46" s="434" t="e">
        <f>PMT($C$14, G46, -F46)</f>
        <v>#N/A</v>
      </c>
      <c r="L46" s="854" t="s">
        <v>752</v>
      </c>
      <c r="M46" s="855"/>
      <c r="N46" s="463"/>
      <c r="O46" t="s">
        <v>753</v>
      </c>
    </row>
    <row r="47" spans="1:15" x14ac:dyDescent="0.35">
      <c r="A47" s="383" t="s">
        <v>490</v>
      </c>
      <c r="B47" t="s">
        <v>754</v>
      </c>
      <c r="C47" s="461" t="e">
        <f>C46</f>
        <v>#N/A</v>
      </c>
      <c r="D47" s="383" t="s">
        <v>718</v>
      </c>
      <c r="E47" s="462">
        <f>135111*43560/74408</f>
        <v>79096.806257391683</v>
      </c>
      <c r="F47" s="434" t="e">
        <f t="shared" si="5"/>
        <v>#N/A</v>
      </c>
      <c r="G47" s="382">
        <f>Building_Cost_Amortisation</f>
        <v>20</v>
      </c>
      <c r="H47" s="434" t="e">
        <f>PMT($C$14, G47, -F47)</f>
        <v>#N/A</v>
      </c>
      <c r="L47" s="454" t="s">
        <v>755</v>
      </c>
      <c r="M47" s="454">
        <v>60000</v>
      </c>
      <c r="N47" s="454" t="s">
        <v>692</v>
      </c>
      <c r="O47" t="s">
        <v>756</v>
      </c>
    </row>
    <row r="48" spans="1:15" x14ac:dyDescent="0.35">
      <c r="A48" s="383" t="s">
        <v>490</v>
      </c>
      <c r="B48" t="s">
        <v>744</v>
      </c>
      <c r="C48" s="455">
        <v>1</v>
      </c>
      <c r="D48" s="383" t="s">
        <v>710</v>
      </c>
      <c r="E48" s="459">
        <v>25000</v>
      </c>
      <c r="F48" s="434">
        <f t="shared" si="5"/>
        <v>25000</v>
      </c>
      <c r="G48" s="382">
        <f>Building_Cost_Amortisation</f>
        <v>20</v>
      </c>
      <c r="H48" s="434">
        <f>PMT($C$14, G48, -F48)</f>
        <v>1680.392689921478</v>
      </c>
      <c r="I48" s="410">
        <f>C51/43000</f>
        <v>8.7209302325581398E-2</v>
      </c>
      <c r="L48" s="453" t="s">
        <v>757</v>
      </c>
      <c r="M48" s="454">
        <v>150</v>
      </c>
      <c r="N48" s="454" t="s">
        <v>692</v>
      </c>
      <c r="O48" t="s">
        <v>758</v>
      </c>
    </row>
    <row r="49" spans="1:15" x14ac:dyDescent="0.35">
      <c r="E49" s="417"/>
      <c r="F49" s="434"/>
      <c r="G49" s="382"/>
      <c r="H49" s="434"/>
      <c r="L49" s="454" t="s">
        <v>759</v>
      </c>
      <c r="M49" s="454">
        <v>30000</v>
      </c>
      <c r="N49" s="454" t="s">
        <v>710</v>
      </c>
      <c r="O49" t="s">
        <v>758</v>
      </c>
    </row>
    <row r="50" spans="1:15" x14ac:dyDescent="0.35">
      <c r="B50" s="448" t="s">
        <v>760</v>
      </c>
      <c r="E50" s="417"/>
      <c r="F50" s="434"/>
      <c r="G50" s="382"/>
      <c r="H50" s="434"/>
      <c r="I50" s="410">
        <f>C53/43000</f>
        <v>1.3953488372093023E-2</v>
      </c>
      <c r="L50" s="454" t="s">
        <v>761</v>
      </c>
      <c r="M50" s="454">
        <v>10000</v>
      </c>
      <c r="N50" s="454" t="s">
        <v>710</v>
      </c>
      <c r="O50" t="s">
        <v>758</v>
      </c>
    </row>
    <row r="51" spans="1:15" x14ac:dyDescent="0.35">
      <c r="A51" s="383" t="s">
        <v>490</v>
      </c>
      <c r="B51" t="s">
        <v>762</v>
      </c>
      <c r="C51" s="458">
        <f>50*75</f>
        <v>3750</v>
      </c>
      <c r="D51" s="383" t="s">
        <v>647</v>
      </c>
      <c r="E51" s="459">
        <v>125</v>
      </c>
      <c r="F51" s="434">
        <f t="shared" ref="F51:F53" si="6">IF(A51="x",C51*E51,0)</f>
        <v>468750</v>
      </c>
      <c r="G51" s="382">
        <f>Building_Cost_Amortisation</f>
        <v>20</v>
      </c>
      <c r="H51" s="434">
        <f>PMT($C$14, G51, -F51)</f>
        <v>31507.362936027715</v>
      </c>
      <c r="L51" s="454" t="s">
        <v>763</v>
      </c>
      <c r="M51" s="454">
        <v>2500</v>
      </c>
      <c r="N51" s="454" t="s">
        <v>710</v>
      </c>
      <c r="O51" t="s">
        <v>764</v>
      </c>
    </row>
    <row r="52" spans="1:15" x14ac:dyDescent="0.35">
      <c r="A52" s="383" t="s">
        <v>490</v>
      </c>
      <c r="B52" t="s">
        <v>765</v>
      </c>
      <c r="C52" s="438">
        <v>1</v>
      </c>
      <c r="D52" s="383" t="s">
        <v>710</v>
      </c>
      <c r="E52" s="460">
        <v>30000</v>
      </c>
      <c r="F52" s="434">
        <f t="shared" si="6"/>
        <v>30000</v>
      </c>
      <c r="G52" s="382">
        <f>Building_Cost_Amortisation</f>
        <v>20</v>
      </c>
      <c r="H52" s="434">
        <f>PMT($C$14, G52, -F52)</f>
        <v>2016.4712279057737</v>
      </c>
      <c r="L52" s="454" t="s">
        <v>766</v>
      </c>
      <c r="M52" s="454">
        <v>5000</v>
      </c>
      <c r="N52" s="454" t="s">
        <v>692</v>
      </c>
      <c r="O52" t="s">
        <v>764</v>
      </c>
    </row>
    <row r="53" spans="1:15" x14ac:dyDescent="0.35">
      <c r="A53" s="383" t="s">
        <v>490</v>
      </c>
      <c r="B53" t="s">
        <v>767</v>
      </c>
      <c r="C53" s="455">
        <v>600</v>
      </c>
      <c r="D53" s="464" t="s">
        <v>647</v>
      </c>
      <c r="E53" s="459">
        <v>50</v>
      </c>
      <c r="F53" s="434">
        <f t="shared" si="6"/>
        <v>30000</v>
      </c>
      <c r="G53" s="382">
        <f>Building_Cost_Amortisation</f>
        <v>20</v>
      </c>
      <c r="H53" s="434">
        <f>PMT($C$14, G53, -F53)</f>
        <v>2016.4712279057737</v>
      </c>
      <c r="L53" s="454" t="s">
        <v>768</v>
      </c>
      <c r="M53" s="454">
        <v>300</v>
      </c>
      <c r="N53" s="454" t="s">
        <v>692</v>
      </c>
      <c r="O53" t="s">
        <v>769</v>
      </c>
    </row>
    <row r="54" spans="1:15" x14ac:dyDescent="0.35">
      <c r="L54" s="454" t="s">
        <v>770</v>
      </c>
      <c r="M54" s="454">
        <v>4000</v>
      </c>
      <c r="N54" s="454" t="s">
        <v>692</v>
      </c>
      <c r="O54" t="s">
        <v>758</v>
      </c>
    </row>
    <row r="55" spans="1:15" x14ac:dyDescent="0.35">
      <c r="B55" s="448" t="s">
        <v>771</v>
      </c>
      <c r="L55" s="442" t="s">
        <v>708</v>
      </c>
      <c r="M55" s="442">
        <v>20000</v>
      </c>
      <c r="N55" s="442" t="s">
        <v>710</v>
      </c>
    </row>
    <row r="56" spans="1:15" x14ac:dyDescent="0.35">
      <c r="A56" s="383" t="s">
        <v>490</v>
      </c>
      <c r="B56" t="s">
        <v>772</v>
      </c>
      <c r="C56" s="438">
        <v>1</v>
      </c>
      <c r="D56" s="383" t="s">
        <v>710</v>
      </c>
      <c r="E56" s="465">
        <v>40000</v>
      </c>
      <c r="F56" s="434">
        <f>IF(A51="x",C56*E56,0)</f>
        <v>40000</v>
      </c>
      <c r="G56" s="382">
        <f>Building_Cost_Amortisation</f>
        <v>20</v>
      </c>
      <c r="H56" s="434">
        <f>PMT($C$14, G56, -F56)</f>
        <v>2688.628303874365</v>
      </c>
      <c r="L56" s="454"/>
      <c r="M56" s="454"/>
      <c r="N56" s="454"/>
    </row>
    <row r="57" spans="1:15" x14ac:dyDescent="0.35">
      <c r="A57" s="383" t="s">
        <v>490</v>
      </c>
      <c r="B57" t="s">
        <v>773</v>
      </c>
      <c r="C57" s="438"/>
      <c r="D57" s="383" t="s">
        <v>774</v>
      </c>
      <c r="E57" s="466">
        <v>15</v>
      </c>
      <c r="F57" s="434">
        <f t="shared" ref="F57:F60" si="7">IF(A57="x",C57*E57,0)</f>
        <v>0</v>
      </c>
      <c r="G57" s="382">
        <f>Building_Cost_Amortisation</f>
        <v>20</v>
      </c>
      <c r="H57" s="434"/>
      <c r="L57" s="854" t="s">
        <v>775</v>
      </c>
      <c r="M57" s="855"/>
      <c r="N57" s="454"/>
      <c r="O57" t="s">
        <v>764</v>
      </c>
    </row>
    <row r="58" spans="1:15" x14ac:dyDescent="0.35">
      <c r="A58" s="383" t="s">
        <v>490</v>
      </c>
      <c r="B58" t="s">
        <v>324</v>
      </c>
      <c r="C58" s="438">
        <v>1</v>
      </c>
      <c r="D58" s="383" t="s">
        <v>710</v>
      </c>
      <c r="E58" s="465">
        <v>100000</v>
      </c>
      <c r="F58" s="434">
        <f t="shared" si="7"/>
        <v>100000</v>
      </c>
      <c r="G58" s="382">
        <f>Equipment_Amortisation</f>
        <v>10</v>
      </c>
      <c r="H58" s="434">
        <f>PMT($C$14, G58, -F58)</f>
        <v>11723.050660515959</v>
      </c>
      <c r="L58" s="454" t="s">
        <v>776</v>
      </c>
      <c r="M58" s="454">
        <f>75000/5</f>
        <v>15000</v>
      </c>
      <c r="N58" s="454" t="s">
        <v>745</v>
      </c>
      <c r="O58" t="s">
        <v>777</v>
      </c>
    </row>
    <row r="59" spans="1:15" x14ac:dyDescent="0.35">
      <c r="A59" s="383" t="s">
        <v>490</v>
      </c>
      <c r="B59" t="s">
        <v>778</v>
      </c>
      <c r="C59" s="457" t="e">
        <f>(C32*43560)^(1/2)*4*1.5</f>
        <v>#N/A</v>
      </c>
      <c r="D59" s="383" t="s">
        <v>774</v>
      </c>
      <c r="E59" s="459">
        <v>12</v>
      </c>
      <c r="F59" s="434" t="e">
        <f t="shared" si="7"/>
        <v>#N/A</v>
      </c>
      <c r="G59" s="382">
        <f>Equipment_Amortisation</f>
        <v>10</v>
      </c>
      <c r="H59" s="434" t="e">
        <f>PMT($C$14, G59, -F59)</f>
        <v>#N/A</v>
      </c>
      <c r="L59" s="454" t="s">
        <v>779</v>
      </c>
      <c r="M59" s="454">
        <f>250000/5</f>
        <v>50000</v>
      </c>
      <c r="N59" s="454" t="s">
        <v>745</v>
      </c>
      <c r="O59" s="467" t="s">
        <v>780</v>
      </c>
    </row>
    <row r="60" spans="1:15" x14ac:dyDescent="0.35">
      <c r="A60" s="383" t="s">
        <v>490</v>
      </c>
      <c r="B60" t="s">
        <v>781</v>
      </c>
      <c r="C60" s="438">
        <v>1</v>
      </c>
      <c r="D60" s="383" t="s">
        <v>710</v>
      </c>
      <c r="E60" s="460">
        <v>5000</v>
      </c>
      <c r="F60" s="434">
        <f t="shared" si="7"/>
        <v>5000</v>
      </c>
      <c r="G60" s="382">
        <f>Equipment_Amortisation</f>
        <v>10</v>
      </c>
      <c r="H60" s="434">
        <f>PMT($C$14, G60, -F60)</f>
        <v>586.15253302579799</v>
      </c>
      <c r="L60" s="467" t="s">
        <v>782</v>
      </c>
      <c r="M60" s="467">
        <v>25000</v>
      </c>
      <c r="N60" s="467" t="s">
        <v>745</v>
      </c>
    </row>
    <row r="61" spans="1:15" x14ac:dyDescent="0.35">
      <c r="C61" s="438"/>
      <c r="E61" s="460"/>
      <c r="F61" s="434"/>
      <c r="G61" s="382"/>
      <c r="H61" s="434"/>
      <c r="L61" s="442"/>
      <c r="M61" s="442"/>
      <c r="N61" s="442"/>
    </row>
    <row r="62" spans="1:15" x14ac:dyDescent="0.35">
      <c r="B62" s="448" t="s">
        <v>783</v>
      </c>
      <c r="C62" s="438"/>
      <c r="E62" s="460"/>
      <c r="F62" s="434"/>
      <c r="G62" s="382"/>
      <c r="H62" s="434"/>
      <c r="L62" s="854" t="s">
        <v>784</v>
      </c>
      <c r="M62" s="855"/>
      <c r="N62" s="442"/>
      <c r="O62" t="s">
        <v>785</v>
      </c>
    </row>
    <row r="63" spans="1:15" x14ac:dyDescent="0.35">
      <c r="A63" s="383" t="s">
        <v>490</v>
      </c>
      <c r="B63" s="454" t="s">
        <v>757</v>
      </c>
      <c r="C63" s="438" t="e">
        <f>H11</f>
        <v>#N/A</v>
      </c>
      <c r="D63" s="468" t="s">
        <v>786</v>
      </c>
      <c r="E63" s="460">
        <v>150</v>
      </c>
      <c r="F63" s="434" t="e">
        <f t="shared" ref="F63:F70" si="8">IF(A63="x",C63*E63,0)</f>
        <v>#N/A</v>
      </c>
      <c r="G63" s="382">
        <f t="shared" ref="G63:G70" si="9">Equipment_Amortisation</f>
        <v>10</v>
      </c>
      <c r="H63" s="434" t="e">
        <f>PMT($C$14, G63, -F63)</f>
        <v>#N/A</v>
      </c>
      <c r="L63" s="580" t="s">
        <v>787</v>
      </c>
      <c r="M63" s="469">
        <v>0.15</v>
      </c>
      <c r="N63" s="442"/>
      <c r="O63" t="s">
        <v>785</v>
      </c>
    </row>
    <row r="64" spans="1:15" x14ac:dyDescent="0.35">
      <c r="A64" s="383" t="s">
        <v>490</v>
      </c>
      <c r="B64" s="454" t="s">
        <v>759</v>
      </c>
      <c r="C64" s="438">
        <v>1</v>
      </c>
      <c r="D64" s="468" t="s">
        <v>710</v>
      </c>
      <c r="E64" s="462">
        <v>30000</v>
      </c>
      <c r="F64" s="434">
        <f t="shared" si="8"/>
        <v>30000</v>
      </c>
      <c r="G64" s="382">
        <f t="shared" si="9"/>
        <v>10</v>
      </c>
      <c r="H64" s="434">
        <f t="shared" ref="H64:H70" si="10">PMT($C$14, G64, -F64)</f>
        <v>3516.9151981547875</v>
      </c>
      <c r="L64" s="581" t="s">
        <v>788</v>
      </c>
      <c r="M64" s="469">
        <v>0.1</v>
      </c>
      <c r="O64" t="s">
        <v>785</v>
      </c>
    </row>
    <row r="65" spans="1:19" x14ac:dyDescent="0.35">
      <c r="A65" s="383" t="s">
        <v>490</v>
      </c>
      <c r="B65" s="454" t="s">
        <v>761</v>
      </c>
      <c r="C65" s="438">
        <v>1</v>
      </c>
      <c r="D65" s="468" t="s">
        <v>710</v>
      </c>
      <c r="E65" s="462">
        <v>10000</v>
      </c>
      <c r="F65" s="434">
        <f t="shared" si="8"/>
        <v>10000</v>
      </c>
      <c r="G65" s="382">
        <f t="shared" si="9"/>
        <v>10</v>
      </c>
      <c r="H65" s="434">
        <f t="shared" si="10"/>
        <v>1172.305066051596</v>
      </c>
      <c r="L65" s="581" t="s">
        <v>789</v>
      </c>
      <c r="M65" s="469">
        <v>0.1</v>
      </c>
      <c r="N65" s="442"/>
    </row>
    <row r="66" spans="1:19" x14ac:dyDescent="0.35">
      <c r="A66" s="383" t="s">
        <v>490</v>
      </c>
      <c r="B66" s="454" t="s">
        <v>763</v>
      </c>
      <c r="C66" s="438">
        <v>1</v>
      </c>
      <c r="D66" s="468" t="s">
        <v>710</v>
      </c>
      <c r="E66" s="462">
        <v>2500</v>
      </c>
      <c r="F66" s="434">
        <f t="shared" si="8"/>
        <v>2500</v>
      </c>
      <c r="G66" s="382">
        <f t="shared" si="9"/>
        <v>10</v>
      </c>
      <c r="H66" s="434">
        <f t="shared" si="10"/>
        <v>293.076266512899</v>
      </c>
    </row>
    <row r="67" spans="1:19" x14ac:dyDescent="0.35">
      <c r="A67" s="383" t="s">
        <v>490</v>
      </c>
      <c r="B67" s="454" t="s">
        <v>766</v>
      </c>
      <c r="C67" s="438" t="e">
        <f>Pads</f>
        <v>#N/A</v>
      </c>
      <c r="D67" s="468" t="s">
        <v>786</v>
      </c>
      <c r="E67" s="462">
        <v>5000</v>
      </c>
      <c r="F67" s="434" t="e">
        <f>IF(A67="x",C67*E67,0)</f>
        <v>#N/A</v>
      </c>
      <c r="G67" s="382">
        <f t="shared" si="9"/>
        <v>10</v>
      </c>
      <c r="H67" s="434" t="e">
        <f t="shared" si="10"/>
        <v>#N/A</v>
      </c>
    </row>
    <row r="68" spans="1:19" x14ac:dyDescent="0.35">
      <c r="A68" s="383" t="s">
        <v>490</v>
      </c>
      <c r="B68" s="454" t="s">
        <v>768</v>
      </c>
      <c r="C68" s="438" t="e">
        <f>Pads</f>
        <v>#N/A</v>
      </c>
      <c r="D68" s="468" t="s">
        <v>786</v>
      </c>
      <c r="E68" s="462">
        <v>300</v>
      </c>
      <c r="F68" s="434" t="e">
        <f t="shared" si="8"/>
        <v>#N/A</v>
      </c>
      <c r="G68" s="382">
        <f t="shared" si="9"/>
        <v>10</v>
      </c>
      <c r="H68" s="434" t="e">
        <f t="shared" si="10"/>
        <v>#N/A</v>
      </c>
      <c r="M68" t="s">
        <v>959</v>
      </c>
      <c r="N68" s="383" t="s">
        <v>35</v>
      </c>
      <c r="O68" t="s">
        <v>851</v>
      </c>
    </row>
    <row r="69" spans="1:19" x14ac:dyDescent="0.35">
      <c r="A69" s="383" t="s">
        <v>490</v>
      </c>
      <c r="B69" s="454" t="s">
        <v>770</v>
      </c>
      <c r="C69" s="438" t="e">
        <f>Pads</f>
        <v>#N/A</v>
      </c>
      <c r="D69" s="468" t="s">
        <v>790</v>
      </c>
      <c r="E69" s="462">
        <v>4000</v>
      </c>
      <c r="F69" s="434" t="e">
        <f t="shared" si="8"/>
        <v>#N/A</v>
      </c>
      <c r="G69" s="382">
        <f t="shared" si="9"/>
        <v>10</v>
      </c>
      <c r="H69" s="434" t="e">
        <f t="shared" si="10"/>
        <v>#N/A</v>
      </c>
      <c r="L69" s="573" t="s">
        <v>978</v>
      </c>
      <c r="M69" s="573">
        <v>500</v>
      </c>
      <c r="N69" s="573"/>
      <c r="O69" s="573">
        <v>750</v>
      </c>
      <c r="P69" s="573" t="s">
        <v>960</v>
      </c>
      <c r="R69" s="694">
        <v>0.1862</v>
      </c>
      <c r="S69" t="s">
        <v>1024</v>
      </c>
    </row>
    <row r="70" spans="1:19" x14ac:dyDescent="0.35">
      <c r="A70" s="383" t="s">
        <v>490</v>
      </c>
      <c r="B70" s="454" t="s">
        <v>732</v>
      </c>
      <c r="C70" s="438" t="e">
        <f>40*Pads</f>
        <v>#N/A</v>
      </c>
      <c r="D70" s="383" t="s">
        <v>790</v>
      </c>
      <c r="E70" s="460">
        <v>450</v>
      </c>
      <c r="F70" s="434" t="e">
        <f t="shared" si="8"/>
        <v>#N/A</v>
      </c>
      <c r="G70" s="382">
        <f t="shared" si="9"/>
        <v>10</v>
      </c>
      <c r="H70" s="434" t="e">
        <f t="shared" si="10"/>
        <v>#N/A</v>
      </c>
      <c r="L70" t="s">
        <v>979</v>
      </c>
      <c r="M70">
        <v>1</v>
      </c>
      <c r="O70">
        <v>3</v>
      </c>
      <c r="P70" t="s">
        <v>961</v>
      </c>
    </row>
    <row r="71" spans="1:19" x14ac:dyDescent="0.35">
      <c r="C71" s="438"/>
      <c r="E71" s="460"/>
      <c r="F71" s="434"/>
      <c r="G71" s="382"/>
      <c r="H71" s="434"/>
      <c r="L71" s="574" t="s">
        <v>980</v>
      </c>
      <c r="M71" s="586" t="e">
        <f>(J7+C111+(C112*2000/I6)+C113)/M69</f>
        <v>#N/A</v>
      </c>
      <c r="N71" s="574"/>
      <c r="O71" s="575" t="e">
        <f>(J7+C111+(C112*2000/I6)+C113)/O69</f>
        <v>#N/A</v>
      </c>
      <c r="P71" s="574" t="s">
        <v>977</v>
      </c>
    </row>
    <row r="72" spans="1:19" x14ac:dyDescent="0.35">
      <c r="B72" s="470" t="s">
        <v>791</v>
      </c>
      <c r="C72" s="438"/>
      <c r="E72" s="460"/>
      <c r="F72" s="434"/>
      <c r="G72" s="382"/>
      <c r="H72" s="434"/>
      <c r="L72" s="573" t="s">
        <v>965</v>
      </c>
      <c r="M72" s="573">
        <v>10</v>
      </c>
      <c r="N72" s="576">
        <f>AVERAGE(M72,O72)</f>
        <v>255</v>
      </c>
      <c r="O72" s="573">
        <v>500</v>
      </c>
      <c r="P72" s="573" t="s">
        <v>960</v>
      </c>
    </row>
    <row r="73" spans="1:19" x14ac:dyDescent="0.35">
      <c r="A73" s="383" t="s">
        <v>490</v>
      </c>
      <c r="B73" s="454" t="s">
        <v>755</v>
      </c>
      <c r="C73" s="438">
        <v>1</v>
      </c>
      <c r="D73" s="468" t="s">
        <v>710</v>
      </c>
      <c r="E73" s="462">
        <v>10000</v>
      </c>
      <c r="F73" s="434">
        <f t="shared" ref="F73:F76" si="11">IF(A73="x",C73*E73,0)</f>
        <v>10000</v>
      </c>
      <c r="G73" s="382">
        <v>10</v>
      </c>
      <c r="H73" s="434">
        <f>PMT($C$14, G73, -F73)</f>
        <v>1172.305066051596</v>
      </c>
      <c r="L73" t="s">
        <v>964</v>
      </c>
      <c r="M73" s="572">
        <f>20000*(1+R69)</f>
        <v>23724</v>
      </c>
      <c r="N73" s="506"/>
      <c r="O73" s="572">
        <f>700000*(1+R69)</f>
        <v>830340</v>
      </c>
      <c r="P73" t="s">
        <v>970</v>
      </c>
    </row>
    <row r="74" spans="1:19" x14ac:dyDescent="0.35">
      <c r="A74" s="383" t="s">
        <v>490</v>
      </c>
      <c r="B74" s="454" t="s">
        <v>776</v>
      </c>
      <c r="C74" s="438" t="e">
        <f>Pads</f>
        <v>#N/A</v>
      </c>
      <c r="D74" s="468" t="s">
        <v>692</v>
      </c>
      <c r="E74" s="460">
        <v>15000</v>
      </c>
      <c r="F74" s="434" t="e">
        <f t="shared" si="11"/>
        <v>#N/A</v>
      </c>
      <c r="G74" s="382">
        <v>10</v>
      </c>
      <c r="H74" s="434" t="e">
        <f t="shared" ref="H74:H76" si="12">PMT($C$14, G74, -F74)</f>
        <v>#N/A</v>
      </c>
      <c r="L74" t="s">
        <v>962</v>
      </c>
      <c r="M74" s="572"/>
      <c r="N74" s="578">
        <v>0.5</v>
      </c>
      <c r="O74" s="572"/>
      <c r="P74" t="s">
        <v>684</v>
      </c>
    </row>
    <row r="75" spans="1:19" x14ac:dyDescent="0.35">
      <c r="A75" s="383" t="s">
        <v>490</v>
      </c>
      <c r="B75" s="454" t="s">
        <v>779</v>
      </c>
      <c r="C75" s="438" t="e">
        <f>Pads</f>
        <v>#N/A</v>
      </c>
      <c r="D75" s="468" t="s">
        <v>692</v>
      </c>
      <c r="E75" s="434">
        <v>5000</v>
      </c>
      <c r="F75" s="434" t="e">
        <f t="shared" si="11"/>
        <v>#N/A</v>
      </c>
      <c r="G75" s="382">
        <v>10</v>
      </c>
      <c r="H75" s="434" t="e">
        <f t="shared" si="12"/>
        <v>#N/A</v>
      </c>
      <c r="L75" t="s">
        <v>974</v>
      </c>
      <c r="M75" s="572"/>
      <c r="N75" s="506" t="e">
        <f>N74*J6</f>
        <v>#N/A</v>
      </c>
      <c r="O75" s="572"/>
      <c r="P75" t="s">
        <v>982</v>
      </c>
    </row>
    <row r="76" spans="1:19" x14ac:dyDescent="0.35">
      <c r="A76" s="383" t="s">
        <v>490</v>
      </c>
      <c r="B76" s="467" t="s">
        <v>782</v>
      </c>
      <c r="C76" s="382">
        <v>1</v>
      </c>
      <c r="D76" s="468" t="s">
        <v>710</v>
      </c>
      <c r="E76" s="434">
        <v>2500</v>
      </c>
      <c r="F76" s="434">
        <f t="shared" si="11"/>
        <v>2500</v>
      </c>
      <c r="G76" s="382">
        <v>10</v>
      </c>
      <c r="H76" s="434">
        <f t="shared" si="12"/>
        <v>293.076266512899</v>
      </c>
      <c r="L76" t="s">
        <v>971</v>
      </c>
      <c r="M76" s="572"/>
      <c r="N76" s="589" t="e">
        <f>N75/N72</f>
        <v>#N/A</v>
      </c>
      <c r="O76" s="572"/>
      <c r="P76" t="s">
        <v>977</v>
      </c>
    </row>
    <row r="77" spans="1:19" x14ac:dyDescent="0.35">
      <c r="B77" s="467"/>
      <c r="M77" s="572"/>
      <c r="N77" s="590"/>
      <c r="O77" s="572"/>
    </row>
    <row r="78" spans="1:19" x14ac:dyDescent="0.35">
      <c r="B78" s="471" t="s">
        <v>792</v>
      </c>
      <c r="M78" s="572"/>
      <c r="N78" s="590"/>
      <c r="O78" s="572"/>
    </row>
    <row r="79" spans="1:19" x14ac:dyDescent="0.35">
      <c r="A79" s="383" t="s">
        <v>490</v>
      </c>
      <c r="B79" s="472" t="s">
        <v>793</v>
      </c>
      <c r="C79" s="473">
        <v>0.05</v>
      </c>
      <c r="E79" s="465" t="e">
        <f>(SUM(F32:F78)+F80)</f>
        <v>#N/A</v>
      </c>
      <c r="F79" s="434" t="e">
        <f>IF(A79="x",C79*E79,0)</f>
        <v>#N/A</v>
      </c>
      <c r="G79" s="382">
        <v>20</v>
      </c>
      <c r="H79" s="434" t="e">
        <f>PMT($C$14, G79, -F79)</f>
        <v>#N/A</v>
      </c>
      <c r="I79" s="474" t="e">
        <f>SUM(I31:I78)+#REF!+4.2</f>
        <v>#REF!</v>
      </c>
      <c r="M79" s="572"/>
      <c r="N79" s="590"/>
      <c r="O79" s="572"/>
    </row>
    <row r="80" spans="1:19" x14ac:dyDescent="0.35">
      <c r="A80" s="383" t="s">
        <v>490</v>
      </c>
      <c r="B80" t="s">
        <v>794</v>
      </c>
      <c r="C80" s="475" t="e">
        <f>Site_Area</f>
        <v>#N/A</v>
      </c>
      <c r="D80" s="383" t="s">
        <v>723</v>
      </c>
      <c r="E80" s="465">
        <v>1000</v>
      </c>
      <c r="F80" s="434" t="e">
        <f t="shared" ref="F80:F86" si="13">IF(A80="x",C80*E80,0)</f>
        <v>#N/A</v>
      </c>
      <c r="G80" s="382">
        <v>20</v>
      </c>
      <c r="H80" s="434" t="e">
        <f>PMT($C$14, G80, -F80)</f>
        <v>#N/A</v>
      </c>
      <c r="M80" s="572"/>
      <c r="N80" s="590"/>
      <c r="O80" s="572"/>
    </row>
    <row r="81" spans="1:17" ht="15" thickBot="1" x14ac:dyDescent="0.4">
      <c r="C81" s="475"/>
      <c r="E81" s="476" t="s">
        <v>711</v>
      </c>
      <c r="F81" s="444" t="e">
        <f>SUM(F32:F80)</f>
        <v>#N/A</v>
      </c>
      <c r="G81" s="476" t="s">
        <v>711</v>
      </c>
      <c r="H81" s="444" t="e">
        <f>SUM(H32:H80)</f>
        <v>#N/A</v>
      </c>
      <c r="I81" s="477"/>
      <c r="L81" s="573" t="s">
        <v>966</v>
      </c>
      <c r="M81" s="573">
        <v>20</v>
      </c>
      <c r="N81" s="576">
        <f t="shared" ref="N81:N85" si="14">AVERAGE(M81,O81)</f>
        <v>1010</v>
      </c>
      <c r="O81" s="573">
        <v>2000</v>
      </c>
      <c r="P81" s="573" t="s">
        <v>960</v>
      </c>
    </row>
    <row r="82" spans="1:17" ht="15" thickTop="1" x14ac:dyDescent="0.35">
      <c r="C82" s="475"/>
      <c r="E82" s="465"/>
      <c r="F82" s="434"/>
      <c r="G82" s="382"/>
      <c r="H82" s="434"/>
      <c r="L82" t="s">
        <v>967</v>
      </c>
      <c r="M82" s="572">
        <f>20000*(1+R69)</f>
        <v>23724</v>
      </c>
      <c r="N82" s="506"/>
      <c r="O82" s="572">
        <f>50000*(1+R69)</f>
        <v>59309.999999999993</v>
      </c>
      <c r="P82" t="s">
        <v>970</v>
      </c>
    </row>
    <row r="83" spans="1:17" x14ac:dyDescent="0.35">
      <c r="C83" s="475"/>
      <c r="E83" s="465"/>
      <c r="F83" s="434"/>
      <c r="G83" s="382"/>
      <c r="H83" s="434"/>
      <c r="L83" t="s">
        <v>975</v>
      </c>
      <c r="M83" s="572"/>
      <c r="N83" s="506" t="e">
        <f>H6*2000/I6</f>
        <v>#N/A</v>
      </c>
      <c r="O83" s="572"/>
      <c r="P83" t="s">
        <v>982</v>
      </c>
    </row>
    <row r="84" spans="1:17" x14ac:dyDescent="0.35">
      <c r="C84" s="475"/>
      <c r="E84" s="465"/>
      <c r="F84" s="434"/>
      <c r="G84" s="382"/>
      <c r="H84" s="434"/>
      <c r="L84" s="574" t="s">
        <v>972</v>
      </c>
      <c r="M84" s="577"/>
      <c r="N84" s="583" t="e">
        <f>N83/N81</f>
        <v>#N/A</v>
      </c>
      <c r="O84" s="577"/>
      <c r="P84" s="574" t="s">
        <v>977</v>
      </c>
    </row>
    <row r="85" spans="1:17" x14ac:dyDescent="0.35">
      <c r="A85" s="383" t="s">
        <v>490</v>
      </c>
      <c r="B85" s="478" t="s">
        <v>787</v>
      </c>
      <c r="C85" s="479">
        <f>M63</f>
        <v>0.15</v>
      </c>
      <c r="E85" s="480" t="e">
        <f>F81</f>
        <v>#N/A</v>
      </c>
      <c r="F85" s="434" t="e">
        <f>IF(A85="x",C85*E85,0)</f>
        <v>#N/A</v>
      </c>
      <c r="G85" s="382">
        <v>20</v>
      </c>
      <c r="H85" s="434" t="e">
        <f>PMT($C$14, G85, -F85)</f>
        <v>#N/A</v>
      </c>
      <c r="L85" s="573" t="s">
        <v>968</v>
      </c>
      <c r="M85" s="573">
        <v>10</v>
      </c>
      <c r="N85" s="576">
        <f t="shared" si="14"/>
        <v>105</v>
      </c>
      <c r="O85" s="573">
        <v>200</v>
      </c>
      <c r="P85" s="573" t="s">
        <v>960</v>
      </c>
    </row>
    <row r="86" spans="1:17" x14ac:dyDescent="0.35">
      <c r="A86" s="383" t="s">
        <v>490</v>
      </c>
      <c r="B86" s="481" t="s">
        <v>788</v>
      </c>
      <c r="C86" s="479">
        <f t="shared" ref="C86:C87" si="15">M64</f>
        <v>0.1</v>
      </c>
      <c r="E86" s="480" t="e">
        <f>F81</f>
        <v>#N/A</v>
      </c>
      <c r="F86" s="434" t="e">
        <f t="shared" si="13"/>
        <v>#N/A</v>
      </c>
      <c r="G86" s="382">
        <v>20</v>
      </c>
      <c r="H86" s="434" t="e">
        <f t="shared" ref="H86" si="16">PMT($C$14, G86, -F86)</f>
        <v>#N/A</v>
      </c>
      <c r="L86" t="s">
        <v>969</v>
      </c>
      <c r="M86" s="572">
        <f>50000*(1+R69)</f>
        <v>59309.999999999993</v>
      </c>
      <c r="N86" s="506"/>
      <c r="O86" s="572">
        <f>180000*(1+R69)</f>
        <v>213516</v>
      </c>
      <c r="P86" t="s">
        <v>970</v>
      </c>
    </row>
    <row r="87" spans="1:17" x14ac:dyDescent="0.35">
      <c r="A87" s="383" t="s">
        <v>490</v>
      </c>
      <c r="B87" s="481" t="s">
        <v>795</v>
      </c>
      <c r="C87" s="479">
        <f t="shared" si="15"/>
        <v>0.1</v>
      </c>
      <c r="E87" s="480" t="e">
        <f>F81</f>
        <v>#N/A</v>
      </c>
      <c r="F87" s="434" t="e">
        <f>IF(A87="x",C87*E87,0)</f>
        <v>#N/A</v>
      </c>
      <c r="G87" s="382">
        <v>20</v>
      </c>
      <c r="H87" s="434" t="e">
        <f>PMT($C$14, G87, -F87)</f>
        <v>#N/A</v>
      </c>
      <c r="L87" t="s">
        <v>976</v>
      </c>
      <c r="M87" s="572"/>
      <c r="N87" s="506" t="e">
        <f>((C10*2000)/1000)*0.4</f>
        <v>#N/A</v>
      </c>
      <c r="O87" s="572"/>
      <c r="P87" t="s">
        <v>982</v>
      </c>
    </row>
    <row r="88" spans="1:17" ht="15" thickBot="1" x14ac:dyDescent="0.4">
      <c r="E88" s="421" t="s">
        <v>711</v>
      </c>
      <c r="F88" s="444" t="e">
        <f>SUM(F85:F87)</f>
        <v>#N/A</v>
      </c>
      <c r="G88" s="421" t="s">
        <v>711</v>
      </c>
      <c r="H88" s="444" t="e">
        <f>SUM(H85:H87)</f>
        <v>#N/A</v>
      </c>
      <c r="L88" s="574" t="s">
        <v>973</v>
      </c>
      <c r="M88" s="574"/>
      <c r="N88" s="582" t="e">
        <f>N87/N85</f>
        <v>#N/A</v>
      </c>
      <c r="O88" s="574"/>
      <c r="P88" s="574" t="s">
        <v>977</v>
      </c>
    </row>
    <row r="89" spans="1:17" ht="15" thickTop="1" x14ac:dyDescent="0.35"/>
    <row r="90" spans="1:17" ht="15" thickBot="1" x14ac:dyDescent="0.4">
      <c r="C90" s="482"/>
      <c r="D90" s="483"/>
      <c r="E90" s="484" t="s">
        <v>796</v>
      </c>
      <c r="F90" s="485" t="e">
        <f>F88+F81+F29</f>
        <v>#N/A</v>
      </c>
      <c r="G90" s="485"/>
      <c r="H90" s="485" t="e">
        <f>H88+H81+H29</f>
        <v>#N/A</v>
      </c>
      <c r="L90" t="s">
        <v>985</v>
      </c>
      <c r="M90" s="437" t="e">
        <f>H7/26</f>
        <v>#N/A</v>
      </c>
      <c r="N90" t="s">
        <v>986</v>
      </c>
    </row>
    <row r="91" spans="1:17" ht="15.5" thickTop="1" thickBot="1" x14ac:dyDescent="0.4">
      <c r="C91" s="482"/>
      <c r="D91" s="483"/>
      <c r="E91" s="484" t="s">
        <v>797</v>
      </c>
      <c r="F91" s="579" t="e">
        <f>F90/C10</f>
        <v>#N/A</v>
      </c>
      <c r="G91" s="485"/>
      <c r="H91" s="486" t="e">
        <f>H90/C10</f>
        <v>#N/A</v>
      </c>
      <c r="L91" t="s">
        <v>985</v>
      </c>
      <c r="M91" s="437" t="e">
        <f>J7/26</f>
        <v>#N/A</v>
      </c>
      <c r="N91" t="s">
        <v>677</v>
      </c>
    </row>
    <row r="92" spans="1:17" ht="20.5" thickTop="1" thickBot="1" x14ac:dyDescent="0.5">
      <c r="B92" s="426" t="s">
        <v>798</v>
      </c>
      <c r="C92" s="427"/>
      <c r="D92" s="487"/>
      <c r="E92" s="426"/>
      <c r="F92" s="426"/>
      <c r="L92" t="s">
        <v>987</v>
      </c>
      <c r="M92" s="437">
        <f>(C42/M5)*M15</f>
        <v>441.11111111111114</v>
      </c>
      <c r="N92" t="s">
        <v>986</v>
      </c>
    </row>
    <row r="93" spans="1:17" ht="18" thickTop="1" thickBot="1" x14ac:dyDescent="0.45">
      <c r="B93" s="391" t="s">
        <v>799</v>
      </c>
      <c r="C93" s="488" t="s">
        <v>800</v>
      </c>
      <c r="D93" s="489" t="s">
        <v>801</v>
      </c>
      <c r="E93" s="490" t="s">
        <v>802</v>
      </c>
      <c r="F93" s="490" t="s">
        <v>652</v>
      </c>
      <c r="G93" t="s">
        <v>983</v>
      </c>
      <c r="H93" t="s">
        <v>984</v>
      </c>
      <c r="L93" t="s">
        <v>987</v>
      </c>
      <c r="M93" s="437">
        <f>(C42/M5)*M14</f>
        <v>1764.4444444444446</v>
      </c>
      <c r="N93" t="s">
        <v>677</v>
      </c>
    </row>
    <row r="94" spans="1:17" ht="15" thickTop="1" x14ac:dyDescent="0.35">
      <c r="B94" t="s">
        <v>803</v>
      </c>
      <c r="C94" s="564" t="e">
        <f>IF(J7&lt;20000,0.25,IF(J7&lt;40000, 0.5,1))</f>
        <v>#N/A</v>
      </c>
      <c r="D94" s="383" t="s">
        <v>804</v>
      </c>
      <c r="E94" s="588">
        <f>30*1.5</f>
        <v>45</v>
      </c>
      <c r="F94" s="434">
        <f t="shared" ref="F94:F98" si="17">IF(A94="x",C94*E94*2080,0)</f>
        <v>0</v>
      </c>
      <c r="G94" s="587" t="e">
        <f>C94</f>
        <v>#N/A</v>
      </c>
      <c r="H94" s="585" t="e">
        <f>G94*2080</f>
        <v>#N/A</v>
      </c>
      <c r="L94" t="s">
        <v>988</v>
      </c>
      <c r="M94" s="437" t="e">
        <f>N75/26</f>
        <v>#N/A</v>
      </c>
      <c r="N94" t="s">
        <v>677</v>
      </c>
      <c r="O94" s="437"/>
      <c r="P94" s="437"/>
      <c r="Q94" s="437"/>
    </row>
    <row r="95" spans="1:17" x14ac:dyDescent="0.35">
      <c r="B95" t="s">
        <v>805</v>
      </c>
      <c r="C95" s="565">
        <v>1</v>
      </c>
      <c r="D95" s="383" t="s">
        <v>804</v>
      </c>
      <c r="E95" s="588">
        <f>EquipOperatorWages/2080</f>
        <v>23.477999999999994</v>
      </c>
      <c r="F95" s="434">
        <f t="shared" si="17"/>
        <v>0</v>
      </c>
      <c r="G95" s="587" t="e">
        <f>(C99-SUM(G94,G96,G98))/2</f>
        <v>#N/A</v>
      </c>
      <c r="H95" s="585" t="e">
        <f t="shared" ref="H95:H98" si="18">G95*2080</f>
        <v>#N/A</v>
      </c>
      <c r="I95" s="504"/>
      <c r="L95" t="s">
        <v>989</v>
      </c>
      <c r="M95" s="437" t="e">
        <f>N83/26</f>
        <v>#N/A</v>
      </c>
      <c r="N95" t="s">
        <v>677</v>
      </c>
      <c r="O95" s="437"/>
      <c r="P95" s="437"/>
      <c r="Q95" s="437"/>
    </row>
    <row r="96" spans="1:17" x14ac:dyDescent="0.35">
      <c r="B96" t="s">
        <v>806</v>
      </c>
      <c r="C96" s="564" t="e">
        <f>IF(J7&lt;20000,0.5, 1)</f>
        <v>#N/A</v>
      </c>
      <c r="D96" s="383" t="s">
        <v>804</v>
      </c>
      <c r="E96" s="588">
        <f>'Transfer &amp; MRF Assumptions'!E10/2080</f>
        <v>30.315999999999999</v>
      </c>
      <c r="F96" s="434">
        <f t="shared" si="17"/>
        <v>0</v>
      </c>
      <c r="G96" s="587" t="e">
        <f>C96</f>
        <v>#N/A</v>
      </c>
      <c r="H96" s="585" t="e">
        <f t="shared" si="18"/>
        <v>#N/A</v>
      </c>
      <c r="L96" t="s">
        <v>990</v>
      </c>
      <c r="M96" s="504" t="e">
        <f>M91/M93</f>
        <v>#N/A</v>
      </c>
    </row>
    <row r="97" spans="1:14" x14ac:dyDescent="0.35">
      <c r="B97" t="s">
        <v>807</v>
      </c>
      <c r="C97" s="565">
        <v>1</v>
      </c>
      <c r="D97" s="383" t="s">
        <v>804</v>
      </c>
      <c r="E97" s="588">
        <f>'Transfer &amp; MRF Assumptions'!E4/2080</f>
        <v>19.63</v>
      </c>
      <c r="F97" s="434">
        <f t="shared" si="17"/>
        <v>0</v>
      </c>
      <c r="G97" s="587" t="e">
        <f>(C99-SUM(G94,G96,G98))/2</f>
        <v>#N/A</v>
      </c>
      <c r="H97" s="585" t="e">
        <f t="shared" si="18"/>
        <v>#N/A</v>
      </c>
      <c r="L97" t="s">
        <v>1035</v>
      </c>
      <c r="M97" s="382" t="e">
        <f>C113/12</f>
        <v>#N/A</v>
      </c>
      <c r="N97" t="s">
        <v>677</v>
      </c>
    </row>
    <row r="98" spans="1:14" x14ac:dyDescent="0.35">
      <c r="B98" t="s">
        <v>808</v>
      </c>
      <c r="C98" s="565">
        <v>1</v>
      </c>
      <c r="D98" s="383" t="s">
        <v>804</v>
      </c>
      <c r="E98" s="588">
        <f>ScaleClericalWages/2080</f>
        <v>22.425000000000001</v>
      </c>
      <c r="F98" s="434">
        <f t="shared" si="17"/>
        <v>0</v>
      </c>
      <c r="G98" s="410">
        <f>C98</f>
        <v>1</v>
      </c>
      <c r="H98" s="585">
        <f t="shared" si="18"/>
        <v>2080</v>
      </c>
    </row>
    <row r="99" spans="1:14" x14ac:dyDescent="0.35">
      <c r="A99" s="383" t="s">
        <v>490</v>
      </c>
      <c r="B99" s="563" t="s">
        <v>809</v>
      </c>
      <c r="C99" s="564" t="e">
        <f>ROUNDUP((H7/10000)*4.1,0)</f>
        <v>#N/A</v>
      </c>
      <c r="D99" s="383" t="s">
        <v>804</v>
      </c>
      <c r="E99" s="491" t="e">
        <f>SUMPRODUCT(G94:G98,E94:E98)/C99</f>
        <v>#N/A</v>
      </c>
      <c r="F99" s="434" t="e">
        <f>IF(A99="x",C99*E99*2080,0)</f>
        <v>#N/A</v>
      </c>
      <c r="G99" s="417" t="e">
        <f>F99/C10</f>
        <v>#N/A</v>
      </c>
      <c r="H99" t="s">
        <v>981</v>
      </c>
    </row>
    <row r="100" spans="1:14" ht="15" thickBot="1" x14ac:dyDescent="0.4">
      <c r="E100" s="484" t="s">
        <v>810</v>
      </c>
      <c r="F100" s="444" t="e">
        <f>SUM(F94:F99)</f>
        <v>#N/A</v>
      </c>
      <c r="G100" s="394" t="e">
        <f>F100/C$10</f>
        <v>#N/A</v>
      </c>
    </row>
    <row r="101" spans="1:14" ht="21" customHeight="1" thickTop="1" thickBot="1" x14ac:dyDescent="0.45">
      <c r="B101" s="391" t="s">
        <v>811</v>
      </c>
      <c r="C101" s="445"/>
      <c r="D101" s="446"/>
      <c r="E101" s="492"/>
      <c r="F101" s="492"/>
    </row>
    <row r="102" spans="1:14" ht="15" thickTop="1" x14ac:dyDescent="0.35">
      <c r="A102" s="383" t="s">
        <v>490</v>
      </c>
      <c r="B102" t="s">
        <v>812</v>
      </c>
      <c r="C102" s="493">
        <v>0.1</v>
      </c>
      <c r="D102" s="383" t="s">
        <v>684</v>
      </c>
      <c r="E102" s="443" t="e">
        <f>H29</f>
        <v>#N/A</v>
      </c>
      <c r="F102" s="434" t="e">
        <f>IF(A102="x",C102*E102,0)</f>
        <v>#N/A</v>
      </c>
      <c r="G102" s="425"/>
      <c r="I102" s="494">
        <f>C16</f>
        <v>0</v>
      </c>
      <c r="J102" s="495" t="s">
        <v>813</v>
      </c>
      <c r="K102" s="495" t="s">
        <v>814</v>
      </c>
      <c r="L102" s="496" t="s">
        <v>815</v>
      </c>
    </row>
    <row r="103" spans="1:14" x14ac:dyDescent="0.35">
      <c r="A103" s="383" t="s">
        <v>490</v>
      </c>
      <c r="B103" t="s">
        <v>816</v>
      </c>
      <c r="C103" s="493">
        <v>0.1</v>
      </c>
      <c r="D103" s="383" t="s">
        <v>684</v>
      </c>
      <c r="E103" s="434" t="e">
        <f>H81</f>
        <v>#N/A</v>
      </c>
      <c r="F103" s="434" t="e">
        <f t="shared" ref="F103:F106" si="19">IF(A103="x",C103*E103,0)</f>
        <v>#N/A</v>
      </c>
      <c r="I103" s="497"/>
      <c r="J103" s="383" t="s">
        <v>817</v>
      </c>
      <c r="K103" s="387">
        <v>10</v>
      </c>
      <c r="L103" s="498" t="s">
        <v>818</v>
      </c>
    </row>
    <row r="104" spans="1:14" x14ac:dyDescent="0.35">
      <c r="A104" s="383" t="s">
        <v>490</v>
      </c>
      <c r="B104" t="s">
        <v>819</v>
      </c>
      <c r="C104" s="382">
        <f>C42+C53</f>
        <v>5600</v>
      </c>
      <c r="D104" s="383" t="s">
        <v>647</v>
      </c>
      <c r="E104" s="417">
        <v>1</v>
      </c>
      <c r="F104" s="434">
        <f t="shared" si="19"/>
        <v>5600</v>
      </c>
      <c r="I104" s="499">
        <f>K104*K103</f>
        <v>260</v>
      </c>
      <c r="J104" t="s">
        <v>820</v>
      </c>
      <c r="K104">
        <v>26</v>
      </c>
      <c r="L104" s="498" t="s">
        <v>821</v>
      </c>
    </row>
    <row r="105" spans="1:14" x14ac:dyDescent="0.35">
      <c r="A105" s="383" t="s">
        <v>490</v>
      </c>
      <c r="B105" t="s">
        <v>822</v>
      </c>
      <c r="C105" s="382">
        <v>1</v>
      </c>
      <c r="D105" s="383" t="s">
        <v>710</v>
      </c>
      <c r="E105" s="434">
        <v>25000</v>
      </c>
      <c r="F105" s="434">
        <f t="shared" si="19"/>
        <v>25000</v>
      </c>
      <c r="I105" s="500">
        <f>I104/9</f>
        <v>28.888888888888889</v>
      </c>
      <c r="J105" t="s">
        <v>823</v>
      </c>
      <c r="K105">
        <v>90</v>
      </c>
      <c r="L105" s="498" t="s">
        <v>824</v>
      </c>
    </row>
    <row r="106" spans="1:14" x14ac:dyDescent="0.35">
      <c r="A106" s="383" t="s">
        <v>490</v>
      </c>
      <c r="B106" t="s">
        <v>825</v>
      </c>
      <c r="C106" s="382">
        <f>C104</f>
        <v>5600</v>
      </c>
      <c r="D106" s="464" t="s">
        <v>647</v>
      </c>
      <c r="E106" s="417">
        <v>1.5</v>
      </c>
      <c r="F106" s="434">
        <f t="shared" si="19"/>
        <v>8400</v>
      </c>
      <c r="I106" s="501">
        <f>I102/I105</f>
        <v>0</v>
      </c>
      <c r="J106" t="s">
        <v>826</v>
      </c>
      <c r="L106" s="498"/>
    </row>
    <row r="107" spans="1:14" ht="15" thickBot="1" x14ac:dyDescent="0.4">
      <c r="E107" s="400" t="s">
        <v>810</v>
      </c>
      <c r="F107" s="444" t="e">
        <f>SUM(F102:F106)</f>
        <v>#N/A</v>
      </c>
      <c r="G107" s="394" t="e">
        <f>F107/C$10</f>
        <v>#N/A</v>
      </c>
      <c r="I107" s="502">
        <f>I106/(K105/3)</f>
        <v>0</v>
      </c>
      <c r="J107" t="s">
        <v>827</v>
      </c>
      <c r="K107" s="437">
        <f>K105*(K104+4)*I109</f>
        <v>0</v>
      </c>
      <c r="L107" s="498" t="s">
        <v>828</v>
      </c>
    </row>
    <row r="108" spans="1:14" ht="18" thickTop="1" thickBot="1" x14ac:dyDescent="0.45">
      <c r="B108" s="391" t="s">
        <v>829</v>
      </c>
      <c r="C108" s="445"/>
      <c r="D108" s="446"/>
      <c r="E108" s="391"/>
      <c r="F108" s="503"/>
      <c r="I108" s="501">
        <v>8</v>
      </c>
      <c r="J108" t="s">
        <v>830</v>
      </c>
      <c r="K108" s="504">
        <f>ROUNDUP(K107/43000,0)</f>
        <v>0</v>
      </c>
      <c r="L108" s="498" t="s">
        <v>831</v>
      </c>
    </row>
    <row r="109" spans="1:14" ht="15" thickTop="1" x14ac:dyDescent="0.35">
      <c r="A109" s="383" t="s">
        <v>490</v>
      </c>
      <c r="B109" t="s">
        <v>832</v>
      </c>
      <c r="C109" s="505" t="e">
        <f>Pads*Zones*G111*G113*G110*G112</f>
        <v>#N/A</v>
      </c>
      <c r="D109" s="383" t="s">
        <v>833</v>
      </c>
      <c r="E109" s="570">
        <f>'Transfer &amp; MRF Assumptions'!B62/100</f>
        <v>6.6699999999999995E-2</v>
      </c>
      <c r="F109" s="434" t="e">
        <f>IF(A109="x",C109*E109,0)</f>
        <v>#N/A</v>
      </c>
      <c r="G109" t="s">
        <v>834</v>
      </c>
      <c r="I109" s="502">
        <f>ROUND(I107/6,0)</f>
        <v>0</v>
      </c>
      <c r="J109" t="s">
        <v>835</v>
      </c>
      <c r="L109" s="498"/>
    </row>
    <row r="110" spans="1:14" x14ac:dyDescent="0.35">
      <c r="A110" s="383" t="s">
        <v>490</v>
      </c>
      <c r="B110" t="s">
        <v>836</v>
      </c>
      <c r="C110" s="571" t="e">
        <f>1.5*M71</f>
        <v>#N/A</v>
      </c>
      <c r="D110" s="464" t="s">
        <v>837</v>
      </c>
      <c r="E110" s="570">
        <f>AVERAGE(M70:O70)*'Transfer &amp; MRF Assumptions'!B57</f>
        <v>5.4</v>
      </c>
      <c r="F110" s="434" t="e">
        <f>IF(A110="x",C110*E110,0)</f>
        <v>#N/A</v>
      </c>
      <c r="G110" s="505">
        <v>8</v>
      </c>
      <c r="H110" s="440" t="s">
        <v>838</v>
      </c>
      <c r="I110" s="502">
        <f>I106/6</f>
        <v>0</v>
      </c>
      <c r="K110" s="506"/>
      <c r="L110" s="498" t="s">
        <v>839</v>
      </c>
    </row>
    <row r="111" spans="1:14" x14ac:dyDescent="0.35">
      <c r="A111" s="383" t="s">
        <v>490</v>
      </c>
      <c r="B111" t="s">
        <v>840</v>
      </c>
      <c r="C111" s="568" t="e">
        <f>N74*J6</f>
        <v>#N/A</v>
      </c>
      <c r="D111" s="464" t="s">
        <v>841</v>
      </c>
      <c r="E111" s="417">
        <v>2</v>
      </c>
      <c r="F111" s="434" t="e">
        <f>IF(A111="x",C111*E111,0)</f>
        <v>#N/A</v>
      </c>
      <c r="G111" s="440">
        <v>2</v>
      </c>
      <c r="H111" s="440" t="s">
        <v>842</v>
      </c>
      <c r="I111" s="499"/>
      <c r="J111" t="s">
        <v>843</v>
      </c>
      <c r="K111">
        <v>90</v>
      </c>
      <c r="L111" s="498" t="s">
        <v>844</v>
      </c>
    </row>
    <row r="112" spans="1:14" x14ac:dyDescent="0.35">
      <c r="A112" s="383" t="s">
        <v>490</v>
      </c>
      <c r="B112" t="s">
        <v>700</v>
      </c>
      <c r="C112" s="438" t="e">
        <f>H6</f>
        <v>#N/A</v>
      </c>
      <c r="D112" s="507" t="s">
        <v>845</v>
      </c>
      <c r="E112" s="417">
        <v>1.5</v>
      </c>
      <c r="F112" s="434" t="e">
        <f>IF(A112="x",C112*E112,0)</f>
        <v>#N/A</v>
      </c>
      <c r="G112" s="440">
        <v>365</v>
      </c>
      <c r="H112" s="440" t="s">
        <v>846</v>
      </c>
      <c r="I112" s="499"/>
      <c r="K112">
        <v>26</v>
      </c>
      <c r="L112" s="498" t="s">
        <v>847</v>
      </c>
    </row>
    <row r="113" spans="1:12" x14ac:dyDescent="0.35">
      <c r="A113" s="383" t="s">
        <v>490</v>
      </c>
      <c r="B113" t="s">
        <v>848</v>
      </c>
      <c r="C113" s="438" t="e">
        <f>((C10*2000)/1000)*0.4</f>
        <v>#N/A</v>
      </c>
      <c r="D113" s="464" t="s">
        <v>849</v>
      </c>
      <c r="E113" s="417">
        <v>3.75</v>
      </c>
      <c r="F113" s="434" t="e">
        <f>IF(A113="x",C113*E113,0)</f>
        <v>#N/A</v>
      </c>
      <c r="G113" s="440">
        <v>0.75</v>
      </c>
      <c r="H113" s="440" t="s">
        <v>850</v>
      </c>
      <c r="I113" s="499"/>
      <c r="K113">
        <v>10</v>
      </c>
      <c r="L113" s="498" t="s">
        <v>851</v>
      </c>
    </row>
    <row r="114" spans="1:12" x14ac:dyDescent="0.35">
      <c r="B114" t="s">
        <v>852</v>
      </c>
      <c r="C114" s="438">
        <v>500</v>
      </c>
      <c r="D114" s="464" t="s">
        <v>853</v>
      </c>
      <c r="E114" s="417">
        <v>4.8499999999999996</v>
      </c>
      <c r="F114" s="434">
        <f t="shared" ref="F114:F115" si="20">IF(A114="x",C114*E114,0)</f>
        <v>0</v>
      </c>
      <c r="I114" s="508"/>
      <c r="K114" s="506">
        <f>K111*K112*K113*0.5</f>
        <v>11700</v>
      </c>
      <c r="L114" s="498" t="s">
        <v>854</v>
      </c>
    </row>
    <row r="115" spans="1:12" ht="20" thickBot="1" x14ac:dyDescent="0.5">
      <c r="A115" s="383" t="s">
        <v>490</v>
      </c>
      <c r="B115" t="s">
        <v>855</v>
      </c>
      <c r="C115" s="568" t="e">
        <f>(7000/30000)*H8</f>
        <v>#N/A</v>
      </c>
      <c r="D115" s="507" t="s">
        <v>845</v>
      </c>
      <c r="E115" s="417">
        <v>26.5</v>
      </c>
      <c r="F115" s="434" t="e">
        <f t="shared" si="20"/>
        <v>#N/A</v>
      </c>
      <c r="G115" s="474" t="e">
        <f>F115/C10</f>
        <v>#N/A</v>
      </c>
      <c r="I115" s="509"/>
      <c r="J115" s="510"/>
      <c r="K115" s="511">
        <f>K114/27</f>
        <v>433.33333333333331</v>
      </c>
      <c r="L115" s="512" t="s">
        <v>856</v>
      </c>
    </row>
    <row r="116" spans="1:12" x14ac:dyDescent="0.35">
      <c r="E116" s="513" t="s">
        <v>711</v>
      </c>
      <c r="F116" s="514" t="e">
        <f>SUM(F109:F115)</f>
        <v>#N/A</v>
      </c>
      <c r="G116" s="394" t="e">
        <f>F116/C$10</f>
        <v>#N/A</v>
      </c>
    </row>
    <row r="117" spans="1:12" x14ac:dyDescent="0.35">
      <c r="E117" s="515"/>
      <c r="F117" s="394"/>
      <c r="G117" s="394"/>
    </row>
    <row r="118" spans="1:12" x14ac:dyDescent="0.35">
      <c r="A118" s="383" t="s">
        <v>490</v>
      </c>
      <c r="B118" t="s">
        <v>1005</v>
      </c>
      <c r="C118" s="568" t="e">
        <f>C10*0.15</f>
        <v>#N/A</v>
      </c>
      <c r="D118" s="507" t="s">
        <v>845</v>
      </c>
      <c r="E118" s="566" t="e">
        <f>VLOOKUP(Input!C6,DropDowns_LookUps!A27:B33,2)</f>
        <v>#N/A</v>
      </c>
      <c r="F118" s="434" t="e">
        <f>IF(A118="x",C118*E118,0)</f>
        <v>#N/A</v>
      </c>
      <c r="G118" s="394" t="e">
        <f>F118/C$10</f>
        <v>#N/A</v>
      </c>
      <c r="H118" s="394" t="e">
        <f>G118+G116+G107+G100</f>
        <v>#N/A</v>
      </c>
    </row>
    <row r="119" spans="1:12" x14ac:dyDescent="0.35">
      <c r="B119" s="425"/>
    </row>
    <row r="120" spans="1:12" ht="15" thickBot="1" x14ac:dyDescent="0.4">
      <c r="E120" s="484" t="s">
        <v>1072</v>
      </c>
      <c r="F120" s="421" t="e">
        <f>F100+F107+F116+F118+H90</f>
        <v>#N/A</v>
      </c>
      <c r="G120" s="480" t="e">
        <f>F100+F107+F116+F118</f>
        <v>#N/A</v>
      </c>
      <c r="H120" t="e">
        <f>G120/(C10*2)</f>
        <v>#N/A</v>
      </c>
    </row>
    <row r="121" spans="1:12" ht="15.5" thickTop="1" thickBot="1" x14ac:dyDescent="0.4">
      <c r="E121" s="484" t="s">
        <v>857</v>
      </c>
      <c r="F121" s="400" t="e">
        <f>F120/C10</f>
        <v>#N/A</v>
      </c>
      <c r="H121" s="394" t="e">
        <f>H118+H91</f>
        <v>#N/A</v>
      </c>
    </row>
    <row r="122" spans="1:12" ht="15" thickTop="1" x14ac:dyDescent="0.35">
      <c r="E122" t="s">
        <v>1073</v>
      </c>
      <c r="F122" s="747" t="e">
        <f>F120-(C124+C126)</f>
        <v>#N/A</v>
      </c>
      <c r="I122" s="382"/>
    </row>
    <row r="123" spans="1:12" ht="20" thickBot="1" x14ac:dyDescent="0.5">
      <c r="B123" s="426" t="s">
        <v>858</v>
      </c>
      <c r="C123" s="427"/>
      <c r="I123" s="382"/>
    </row>
    <row r="124" spans="1:12" ht="15" thickTop="1" x14ac:dyDescent="0.35">
      <c r="B124" t="s">
        <v>859</v>
      </c>
      <c r="C124" s="382" t="e">
        <f>C10*C5</f>
        <v>#N/A</v>
      </c>
      <c r="I124" s="382"/>
    </row>
    <row r="125" spans="1:12" x14ac:dyDescent="0.35">
      <c r="B125" t="s">
        <v>860</v>
      </c>
      <c r="C125" s="382">
        <v>0</v>
      </c>
      <c r="I125" s="382"/>
    </row>
    <row r="126" spans="1:12" x14ac:dyDescent="0.35">
      <c r="B126" t="s">
        <v>861</v>
      </c>
      <c r="C126" s="516" t="e">
        <f>0.8*C113*C6</f>
        <v>#N/A</v>
      </c>
      <c r="D126" s="517" t="e">
        <f>C113/2</f>
        <v>#N/A</v>
      </c>
      <c r="E126" t="e">
        <f>C126/D126</f>
        <v>#N/A</v>
      </c>
      <c r="I126" s="382"/>
    </row>
    <row r="127" spans="1:12" ht="15" thickBot="1" x14ac:dyDescent="0.4">
      <c r="B127" s="484" t="s">
        <v>862</v>
      </c>
      <c r="C127" s="518" t="e">
        <f>(C124+C126)/C10</f>
        <v>#N/A</v>
      </c>
      <c r="D127" s="519" t="e">
        <f>C127*C10</f>
        <v>#N/A</v>
      </c>
      <c r="E127" s="434" t="e">
        <f>C126+C124</f>
        <v>#N/A</v>
      </c>
      <c r="F127" s="567" t="s">
        <v>953</v>
      </c>
    </row>
    <row r="128" spans="1:12" ht="15.5" thickTop="1" thickBot="1" x14ac:dyDescent="0.4"/>
    <row r="129" spans="2:9" ht="17.5" thickBot="1" x14ac:dyDescent="0.4">
      <c r="B129" s="520" t="s">
        <v>863</v>
      </c>
      <c r="C129" s="521" t="s">
        <v>815</v>
      </c>
      <c r="D129" s="522"/>
    </row>
    <row r="130" spans="2:9" ht="35" thickTop="1" thickBot="1" x14ac:dyDescent="0.4">
      <c r="B130" s="523" t="s">
        <v>864</v>
      </c>
      <c r="C130" s="524" t="e">
        <f>C10</f>
        <v>#N/A</v>
      </c>
      <c r="I130" s="382"/>
    </row>
    <row r="131" spans="2:9" ht="17.5" thickBot="1" x14ac:dyDescent="0.4">
      <c r="B131" s="525" t="s">
        <v>865</v>
      </c>
      <c r="C131" s="526" t="e">
        <f>I79</f>
        <v>#REF!</v>
      </c>
      <c r="D131" s="527"/>
      <c r="E131" s="382"/>
      <c r="F131" s="382"/>
      <c r="G131" s="382"/>
      <c r="H131" s="382"/>
      <c r="I131" s="382"/>
    </row>
    <row r="132" spans="2:9" ht="17.5" thickBot="1" x14ac:dyDescent="0.4">
      <c r="B132" s="528" t="s">
        <v>866</v>
      </c>
      <c r="C132" s="529">
        <f>C42+C51+20*30</f>
        <v>9350</v>
      </c>
      <c r="D132" s="527"/>
      <c r="E132" s="382"/>
      <c r="F132" s="382"/>
      <c r="G132" s="382"/>
      <c r="H132" s="382"/>
      <c r="I132" s="382"/>
    </row>
    <row r="133" spans="2:9" ht="17.5" thickBot="1" x14ac:dyDescent="0.4">
      <c r="B133" s="525" t="s">
        <v>867</v>
      </c>
      <c r="C133" s="526" t="e">
        <f>SUM(C19:C28)</f>
        <v>#N/A</v>
      </c>
      <c r="D133" s="527"/>
      <c r="E133" s="382"/>
      <c r="F133" s="382"/>
      <c r="G133" s="382"/>
      <c r="H133" s="382"/>
      <c r="I133" s="382"/>
    </row>
    <row r="134" spans="2:9" ht="17.5" thickBot="1" x14ac:dyDescent="0.4">
      <c r="B134" s="528" t="s">
        <v>868</v>
      </c>
      <c r="C134" s="529" t="e">
        <f>SUM(C94:C98)</f>
        <v>#N/A</v>
      </c>
      <c r="D134" s="527"/>
      <c r="E134" s="382"/>
      <c r="F134" s="382"/>
      <c r="G134" s="382"/>
      <c r="H134" s="382"/>
      <c r="I134" s="382"/>
    </row>
    <row r="135" spans="2:9" ht="17.5" thickBot="1" x14ac:dyDescent="0.4">
      <c r="B135" s="525" t="s">
        <v>869</v>
      </c>
      <c r="C135" s="526" t="e">
        <f>C113</f>
        <v>#N/A</v>
      </c>
      <c r="D135" s="527"/>
      <c r="E135" s="382"/>
      <c r="F135" s="382"/>
      <c r="G135" s="382"/>
      <c r="H135" s="382"/>
      <c r="I135" s="382"/>
    </row>
    <row r="136" spans="2:9" ht="15" thickBot="1" x14ac:dyDescent="0.4">
      <c r="B136" s="382"/>
      <c r="D136" s="527"/>
      <c r="E136" s="382"/>
      <c r="F136" s="382"/>
      <c r="G136" s="382"/>
      <c r="I136" s="382"/>
    </row>
    <row r="137" spans="2:9" ht="17.5" thickBot="1" x14ac:dyDescent="0.4">
      <c r="B137" s="520" t="s">
        <v>870</v>
      </c>
      <c r="C137" s="521" t="s">
        <v>815</v>
      </c>
      <c r="D137" s="527"/>
      <c r="E137" s="382"/>
      <c r="F137" s="382"/>
      <c r="G137" s="382"/>
    </row>
    <row r="138" spans="2:9" ht="18" thickTop="1" thickBot="1" x14ac:dyDescent="0.4">
      <c r="B138" s="530" t="s">
        <v>871</v>
      </c>
      <c r="C138" s="531"/>
      <c r="D138" s="527"/>
      <c r="E138" s="382"/>
      <c r="F138" s="382"/>
      <c r="G138" s="382"/>
    </row>
    <row r="139" spans="2:9" ht="18" thickTop="1" thickBot="1" x14ac:dyDescent="0.4">
      <c r="B139" s="532" t="s">
        <v>872</v>
      </c>
      <c r="C139" s="533" t="e">
        <f>F29</f>
        <v>#N/A</v>
      </c>
      <c r="D139" s="522" t="e">
        <f>(C139+C140)/80000</f>
        <v>#N/A</v>
      </c>
      <c r="E139" s="382"/>
      <c r="F139" s="382"/>
      <c r="G139" s="382"/>
      <c r="H139" s="382"/>
    </row>
    <row r="140" spans="2:9" ht="17.5" thickBot="1" x14ac:dyDescent="0.4">
      <c r="B140" s="525" t="s">
        <v>873</v>
      </c>
      <c r="C140" s="534" t="e">
        <f>#REF!</f>
        <v>#REF!</v>
      </c>
      <c r="D140" s="527"/>
      <c r="E140" s="382" t="e">
        <f>C140+C139</f>
        <v>#REF!</v>
      </c>
      <c r="F140" s="382"/>
      <c r="G140" s="382"/>
      <c r="H140" s="382"/>
    </row>
    <row r="141" spans="2:9" ht="17.5" thickBot="1" x14ac:dyDescent="0.4">
      <c r="B141" s="535" t="s">
        <v>874</v>
      </c>
      <c r="C141" s="536" t="e">
        <f>H91</f>
        <v>#N/A</v>
      </c>
      <c r="D141" s="527"/>
      <c r="E141" s="382"/>
      <c r="F141" s="382"/>
      <c r="G141" s="382"/>
      <c r="H141" s="382"/>
    </row>
    <row r="142" spans="2:9" ht="17.5" thickBot="1" x14ac:dyDescent="0.4">
      <c r="B142" s="525" t="s">
        <v>875</v>
      </c>
      <c r="C142" s="537" t="e">
        <f>F100</f>
        <v>#N/A</v>
      </c>
      <c r="D142" s="527"/>
      <c r="E142" s="382"/>
      <c r="F142" s="382"/>
      <c r="G142" s="382"/>
      <c r="H142" s="382"/>
    </row>
    <row r="143" spans="2:9" ht="17.5" thickBot="1" x14ac:dyDescent="0.4">
      <c r="B143" s="528" t="s">
        <v>876</v>
      </c>
      <c r="C143" s="538" t="e">
        <f>F107</f>
        <v>#N/A</v>
      </c>
      <c r="D143" s="527"/>
      <c r="E143" s="382"/>
      <c r="F143" s="382"/>
      <c r="G143" s="382"/>
      <c r="H143" s="382"/>
    </row>
    <row r="144" spans="2:9" ht="17.5" thickBot="1" x14ac:dyDescent="0.4">
      <c r="B144" s="525" t="s">
        <v>877</v>
      </c>
      <c r="C144" s="534" t="e">
        <f>F116</f>
        <v>#N/A</v>
      </c>
      <c r="D144" s="527"/>
      <c r="E144" s="382" t="e">
        <f>C142+C143+C144</f>
        <v>#N/A</v>
      </c>
      <c r="F144" s="382"/>
      <c r="G144" s="382"/>
      <c r="H144" s="382"/>
    </row>
    <row r="145" spans="2:8" ht="17.5" thickBot="1" x14ac:dyDescent="0.4">
      <c r="B145" s="535" t="s">
        <v>878</v>
      </c>
      <c r="C145" s="536" t="e">
        <f>G100+G107+G116</f>
        <v>#N/A</v>
      </c>
      <c r="D145" s="539" t="e">
        <f>C146+C145+C141</f>
        <v>#N/A</v>
      </c>
      <c r="E145" s="417" t="e">
        <f>E144/C10</f>
        <v>#N/A</v>
      </c>
      <c r="F145" s="382"/>
      <c r="G145" s="382"/>
      <c r="H145" s="382"/>
    </row>
    <row r="146" spans="2:8" ht="17.5" thickBot="1" x14ac:dyDescent="0.4">
      <c r="B146" s="540" t="s">
        <v>879</v>
      </c>
      <c r="C146" s="541" t="e">
        <f>G118</f>
        <v>#N/A</v>
      </c>
    </row>
    <row r="147" spans="2:8" ht="17.5" thickBot="1" x14ac:dyDescent="0.4">
      <c r="B147" s="535" t="s">
        <v>880</v>
      </c>
      <c r="C147" s="536">
        <f>C5</f>
        <v>0</v>
      </c>
      <c r="E147" s="394" t="e">
        <f>C147+C149-E145</f>
        <v>#N/A</v>
      </c>
    </row>
    <row r="148" spans="2:8" ht="17.5" thickBot="1" x14ac:dyDescent="0.4">
      <c r="B148" s="530" t="s">
        <v>881</v>
      </c>
      <c r="C148" s="531"/>
    </row>
    <row r="149" spans="2:8" ht="17.5" thickBot="1" x14ac:dyDescent="0.4">
      <c r="B149" s="535" t="s">
        <v>882</v>
      </c>
      <c r="C149" s="536" t="e">
        <f>C127-C5</f>
        <v>#N/A</v>
      </c>
    </row>
    <row r="150" spans="2:8" ht="34.5" thickBot="1" x14ac:dyDescent="0.4">
      <c r="B150" s="540" t="s">
        <v>883</v>
      </c>
      <c r="C150" s="542" t="e">
        <f>C147+C149-C141-C145-C146</f>
        <v>#N/A</v>
      </c>
    </row>
    <row r="151" spans="2:8" ht="15" thickBot="1" x14ac:dyDescent="0.4"/>
    <row r="152" spans="2:8" ht="17.5" thickBot="1" x14ac:dyDescent="0.4">
      <c r="B152" s="520" t="s">
        <v>884</v>
      </c>
      <c r="C152" s="521" t="s">
        <v>815</v>
      </c>
    </row>
    <row r="153" spans="2:8" ht="18" thickTop="1" thickBot="1" x14ac:dyDescent="0.4">
      <c r="B153" s="525" t="s">
        <v>885</v>
      </c>
      <c r="C153" s="526" t="e">
        <f>C130</f>
        <v>#N/A</v>
      </c>
    </row>
    <row r="154" spans="2:8" ht="17.5" thickBot="1" x14ac:dyDescent="0.4">
      <c r="B154" s="525" t="s">
        <v>865</v>
      </c>
      <c r="C154" s="526" t="e">
        <f>C131</f>
        <v>#REF!</v>
      </c>
    </row>
    <row r="155" spans="2:8" ht="17.5" thickBot="1" x14ac:dyDescent="0.4">
      <c r="B155" s="525" t="s">
        <v>867</v>
      </c>
      <c r="C155" s="526" t="e">
        <f>SUM(C91:C97)</f>
        <v>#N/A</v>
      </c>
    </row>
    <row r="156" spans="2:8" ht="17.5" thickBot="1" x14ac:dyDescent="0.4">
      <c r="B156" s="525" t="s">
        <v>868</v>
      </c>
      <c r="C156" s="526" t="e">
        <f>C134</f>
        <v>#N/A</v>
      </c>
    </row>
    <row r="157" spans="2:8" ht="17.5" thickBot="1" x14ac:dyDescent="0.4">
      <c r="B157" s="525" t="s">
        <v>869</v>
      </c>
      <c r="C157" s="526" t="e">
        <f>C135</f>
        <v>#N/A</v>
      </c>
    </row>
    <row r="158" spans="2:8" ht="17.5" thickBot="1" x14ac:dyDescent="0.4">
      <c r="B158" s="520" t="s">
        <v>886</v>
      </c>
      <c r="C158" s="521" t="s">
        <v>815</v>
      </c>
    </row>
    <row r="159" spans="2:8" ht="18" thickTop="1" thickBot="1" x14ac:dyDescent="0.4">
      <c r="B159" s="530" t="s">
        <v>871</v>
      </c>
      <c r="C159" s="531"/>
    </row>
    <row r="160" spans="2:8" ht="17.5" thickBot="1" x14ac:dyDescent="0.4">
      <c r="B160" s="525" t="s">
        <v>887</v>
      </c>
      <c r="C160" s="543" t="e">
        <f>C139+C140</f>
        <v>#N/A</v>
      </c>
    </row>
    <row r="161" spans="2:3" ht="34.5" thickBot="1" x14ac:dyDescent="0.4">
      <c r="B161" s="525" t="s">
        <v>888</v>
      </c>
      <c r="C161" s="537" t="e">
        <f>C142+C143+C144</f>
        <v>#N/A</v>
      </c>
    </row>
    <row r="162" spans="2:3" ht="17.5" thickBot="1" x14ac:dyDescent="0.4">
      <c r="B162" s="530" t="s">
        <v>881</v>
      </c>
      <c r="C162" s="526"/>
    </row>
    <row r="163" spans="2:3" ht="17.5" thickBot="1" x14ac:dyDescent="0.4">
      <c r="B163" s="540" t="s">
        <v>889</v>
      </c>
      <c r="C163" s="544" t="e">
        <f>C124</f>
        <v>#N/A</v>
      </c>
    </row>
    <row r="164" spans="2:3" ht="17.5" thickBot="1" x14ac:dyDescent="0.4">
      <c r="B164" s="526" t="s">
        <v>890</v>
      </c>
      <c r="C164" s="543" t="e">
        <f>C126</f>
        <v>#N/A</v>
      </c>
    </row>
    <row r="165" spans="2:3" ht="17.5" thickBot="1" x14ac:dyDescent="0.4">
      <c r="B165" s="526" t="s">
        <v>891</v>
      </c>
      <c r="C165" s="543" t="e">
        <f>C163+C164</f>
        <v>#N/A</v>
      </c>
    </row>
    <row r="166" spans="2:3" ht="17.5" thickBot="1" x14ac:dyDescent="0.4">
      <c r="B166" s="540" t="s">
        <v>892</v>
      </c>
      <c r="C166" s="542" t="e">
        <f>C150</f>
        <v>#N/A</v>
      </c>
    </row>
  </sheetData>
  <mergeCells count="5">
    <mergeCell ref="G3:J3"/>
    <mergeCell ref="L30:M30"/>
    <mergeCell ref="L46:M46"/>
    <mergeCell ref="L57:M57"/>
    <mergeCell ref="L62:M62"/>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F7479-E0F7-435B-91A4-5AD6590BE6AF}">
  <sheetPr>
    <tabColor theme="9" tint="0.499984740745262"/>
  </sheetPr>
  <dimension ref="A2:P142"/>
  <sheetViews>
    <sheetView workbookViewId="0">
      <selection activeCell="C5" sqref="C5:F5"/>
    </sheetView>
  </sheetViews>
  <sheetFormatPr defaultColWidth="8.81640625" defaultRowHeight="14.5" x14ac:dyDescent="0.35"/>
  <cols>
    <col min="1" max="1" width="5.1796875" customWidth="1"/>
    <col min="2" max="2" width="46.453125" customWidth="1"/>
    <col min="3" max="3" width="14.1796875" customWidth="1"/>
    <col min="4" max="4" width="10.7265625" customWidth="1"/>
    <col min="5" max="5" width="14" customWidth="1"/>
    <col min="6" max="6" width="16.1796875" bestFit="1" customWidth="1"/>
    <col min="7" max="7" width="11.453125" customWidth="1"/>
    <col min="8" max="8" width="14" customWidth="1"/>
    <col min="9" max="9" width="10" customWidth="1"/>
    <col min="10" max="10" width="8.1796875" customWidth="1"/>
    <col min="11" max="11" width="13.453125" customWidth="1"/>
    <col min="12" max="12" width="25.26953125" customWidth="1"/>
    <col min="13" max="13" width="18" customWidth="1"/>
    <col min="14" max="14" width="11.453125" customWidth="1"/>
    <col min="15" max="15" width="12.453125" customWidth="1"/>
    <col min="17" max="17" width="8.81640625" customWidth="1"/>
    <col min="20" max="21" width="8.81640625" customWidth="1"/>
    <col min="23" max="23" width="8.81640625" customWidth="1"/>
  </cols>
  <sheetData>
    <row r="2" spans="2:12" x14ac:dyDescent="0.35">
      <c r="B2" s="387"/>
    </row>
    <row r="3" spans="2:12" ht="24" thickBot="1" x14ac:dyDescent="0.6">
      <c r="B3" s="390" t="s">
        <v>893</v>
      </c>
      <c r="E3" s="391" t="s">
        <v>635</v>
      </c>
      <c r="F3" s="391"/>
      <c r="H3" s="391"/>
      <c r="I3" s="391" t="s">
        <v>894</v>
      </c>
      <c r="J3" s="391"/>
      <c r="K3" s="391"/>
    </row>
    <row r="4" spans="2:12" ht="15" thickTop="1" x14ac:dyDescent="0.35">
      <c r="B4" s="392" t="s">
        <v>638</v>
      </c>
      <c r="C4" s="545"/>
      <c r="E4" s="387" t="s">
        <v>639</v>
      </c>
      <c r="F4" s="394" t="e">
        <f>H67</f>
        <v>#N/A</v>
      </c>
      <c r="H4" s="387" t="s">
        <v>640</v>
      </c>
      <c r="I4" s="383" t="s">
        <v>544</v>
      </c>
      <c r="J4" s="383" t="s">
        <v>641</v>
      </c>
      <c r="K4" s="383" t="s">
        <v>642</v>
      </c>
    </row>
    <row r="5" spans="2:12" x14ac:dyDescent="0.35">
      <c r="B5" s="392" t="s">
        <v>644</v>
      </c>
      <c r="C5" s="714">
        <f>-Input!E38</f>
        <v>0</v>
      </c>
      <c r="E5" s="387" t="s">
        <v>547</v>
      </c>
      <c r="F5" s="394" t="e">
        <f>F96-H67</f>
        <v>#N/A</v>
      </c>
      <c r="H5" s="546" t="s">
        <v>895</v>
      </c>
      <c r="I5" s="568" t="e">
        <f>TonnageImpacts!O13-'Windrow Model_YW+FW'!I6</f>
        <v>#N/A</v>
      </c>
      <c r="J5" s="382">
        <v>750</v>
      </c>
      <c r="K5" s="382" t="e">
        <f>I5/J5*2000</f>
        <v>#N/A</v>
      </c>
    </row>
    <row r="6" spans="2:12" ht="15" thickBot="1" x14ac:dyDescent="0.4">
      <c r="B6" s="392" t="s">
        <v>648</v>
      </c>
      <c r="C6" s="608">
        <f>AssumptionTables!C65</f>
        <v>13</v>
      </c>
      <c r="E6" s="399" t="s">
        <v>73</v>
      </c>
      <c r="F6" s="400" t="e">
        <f>F4+F5</f>
        <v>#N/A</v>
      </c>
      <c r="H6" s="546" t="s">
        <v>645</v>
      </c>
      <c r="I6" s="568" t="e">
        <f>TonnageImpacts!O13*(AssumptionTables!C59/(AssumptionTables!C59+AssumptionTables!C53))</f>
        <v>#N/A</v>
      </c>
      <c r="J6" s="382">
        <v>1500</v>
      </c>
      <c r="K6" s="382" t="e">
        <f>I6/J6*2000</f>
        <v>#N/A</v>
      </c>
    </row>
    <row r="7" spans="2:12" ht="15" thickTop="1" x14ac:dyDescent="0.35">
      <c r="B7" s="392" t="s">
        <v>651</v>
      </c>
      <c r="C7" s="547"/>
      <c r="E7" s="387" t="s">
        <v>437</v>
      </c>
      <c r="F7" s="394" t="e">
        <f>C103</f>
        <v>#N/A</v>
      </c>
      <c r="H7" s="395" t="s">
        <v>652</v>
      </c>
      <c r="I7" s="405" t="e">
        <f>SUM(I5:I6)</f>
        <v>#N/A</v>
      </c>
      <c r="J7" s="406"/>
      <c r="K7" s="405" t="e">
        <f>SUM(K5:K6)</f>
        <v>#N/A</v>
      </c>
    </row>
    <row r="8" spans="2:12" ht="15" thickBot="1" x14ac:dyDescent="0.4">
      <c r="B8" s="392" t="s">
        <v>896</v>
      </c>
      <c r="C8" s="547">
        <v>0</v>
      </c>
      <c r="E8" s="399" t="s">
        <v>655</v>
      </c>
      <c r="F8" s="400" t="e">
        <f>F7-F6</f>
        <v>#N/A</v>
      </c>
      <c r="H8" s="387" t="s">
        <v>897</v>
      </c>
      <c r="J8" s="479">
        <v>0.9</v>
      </c>
      <c r="K8" s="437" t="e">
        <f>J8*K7</f>
        <v>#N/A</v>
      </c>
    </row>
    <row r="9" spans="2:12" ht="15" thickTop="1" x14ac:dyDescent="0.35">
      <c r="B9" s="392" t="s">
        <v>654</v>
      </c>
      <c r="C9" s="393">
        <v>0</v>
      </c>
      <c r="H9" s="387" t="s">
        <v>898</v>
      </c>
      <c r="J9" s="479">
        <v>0.75</v>
      </c>
      <c r="K9" s="437" t="e">
        <f>J9*K8</f>
        <v>#N/A</v>
      </c>
    </row>
    <row r="10" spans="2:12" x14ac:dyDescent="0.35">
      <c r="B10" s="392" t="s">
        <v>661</v>
      </c>
      <c r="C10" s="609" t="e">
        <f>I7</f>
        <v>#N/A</v>
      </c>
      <c r="D10" s="479"/>
      <c r="E10" s="387" t="s">
        <v>662</v>
      </c>
      <c r="F10" s="394" t="e">
        <f>C101/C15</f>
        <v>#N/A</v>
      </c>
      <c r="H10" s="387" t="s">
        <v>899</v>
      </c>
      <c r="I10" s="413" t="s">
        <v>900</v>
      </c>
      <c r="J10">
        <v>12</v>
      </c>
      <c r="K10" s="437" t="e">
        <f>K9*J10/12</f>
        <v>#N/A</v>
      </c>
    </row>
    <row r="11" spans="2:12" x14ac:dyDescent="0.35">
      <c r="B11" s="392" t="s">
        <v>666</v>
      </c>
      <c r="C11" s="607">
        <v>0</v>
      </c>
      <c r="E11" s="387" t="s">
        <v>667</v>
      </c>
      <c r="F11" s="417">
        <f>C7</f>
        <v>0</v>
      </c>
      <c r="H11" s="548" t="s">
        <v>901</v>
      </c>
    </row>
    <row r="12" spans="2:12" ht="15" thickBot="1" x14ac:dyDescent="0.4">
      <c r="B12" s="392" t="s">
        <v>670</v>
      </c>
      <c r="C12" s="549">
        <v>1</v>
      </c>
      <c r="E12" s="399" t="s">
        <v>73</v>
      </c>
      <c r="F12" s="400" t="e">
        <f>F8+F10+F11</f>
        <v>#N/A</v>
      </c>
      <c r="H12" s="550" t="s">
        <v>902</v>
      </c>
      <c r="I12">
        <v>16</v>
      </c>
      <c r="J12" t="s">
        <v>903</v>
      </c>
    </row>
    <row r="13" spans="2:12" ht="15" thickTop="1" x14ac:dyDescent="0.35">
      <c r="B13" s="392" t="s">
        <v>674</v>
      </c>
      <c r="C13" s="549">
        <v>0</v>
      </c>
      <c r="H13" s="551" t="s">
        <v>904</v>
      </c>
      <c r="I13">
        <v>8</v>
      </c>
      <c r="J13" t="s">
        <v>903</v>
      </c>
    </row>
    <row r="14" spans="2:12" ht="15" thickBot="1" x14ac:dyDescent="0.4">
      <c r="B14" s="392" t="s">
        <v>412</v>
      </c>
      <c r="C14" s="606">
        <f>Interest_Rate</f>
        <v>0.03</v>
      </c>
      <c r="E14" s="399" t="s">
        <v>905</v>
      </c>
      <c r="F14" s="421" t="e">
        <f>F12*C10</f>
        <v>#N/A</v>
      </c>
      <c r="H14" s="551" t="s">
        <v>906</v>
      </c>
      <c r="I14">
        <v>400</v>
      </c>
      <c r="J14" t="s">
        <v>903</v>
      </c>
    </row>
    <row r="15" spans="2:12" ht="15" thickTop="1" x14ac:dyDescent="0.35">
      <c r="B15" s="392" t="s">
        <v>907</v>
      </c>
      <c r="C15" s="418" t="e">
        <f>I7</f>
        <v>#N/A</v>
      </c>
      <c r="E15" s="423"/>
      <c r="F15" s="424"/>
      <c r="H15" t="s">
        <v>908</v>
      </c>
      <c r="I15" s="382">
        <f>I12*I13*I14</f>
        <v>51200</v>
      </c>
      <c r="J15" t="s">
        <v>909</v>
      </c>
      <c r="K15" s="382">
        <f>I15/27</f>
        <v>1896.2962962962963</v>
      </c>
      <c r="L15" t="s">
        <v>1022</v>
      </c>
    </row>
    <row r="16" spans="2:12" x14ac:dyDescent="0.35">
      <c r="B16" s="392"/>
      <c r="C16" s="418"/>
      <c r="E16" s="552"/>
      <c r="F16" s="553"/>
      <c r="H16" t="s">
        <v>910</v>
      </c>
      <c r="I16" s="568">
        <f>(I12+20)*(I14+10)</f>
        <v>14760</v>
      </c>
      <c r="J16" t="s">
        <v>647</v>
      </c>
      <c r="K16" s="382"/>
    </row>
    <row r="17" spans="1:14" x14ac:dyDescent="0.35">
      <c r="B17" s="392"/>
      <c r="C17" s="418"/>
      <c r="E17" s="552"/>
      <c r="F17" s="553"/>
      <c r="H17" s="387" t="s">
        <v>911</v>
      </c>
      <c r="I17" s="382" t="e">
        <f>K10/K15</f>
        <v>#N/A</v>
      </c>
      <c r="J17" t="s">
        <v>692</v>
      </c>
      <c r="K17" s="382"/>
    </row>
    <row r="18" spans="1:14" x14ac:dyDescent="0.35">
      <c r="B18" s="392"/>
      <c r="C18" s="418"/>
      <c r="E18" s="552"/>
      <c r="F18" s="553"/>
      <c r="H18" t="s">
        <v>912</v>
      </c>
      <c r="I18" s="382" t="e">
        <f>I17*I16</f>
        <v>#N/A</v>
      </c>
      <c r="J18" t="s">
        <v>647</v>
      </c>
      <c r="K18" s="554" t="e">
        <f>I18/43560</f>
        <v>#N/A</v>
      </c>
    </row>
    <row r="19" spans="1:14" x14ac:dyDescent="0.35">
      <c r="B19" s="392"/>
      <c r="C19" s="418"/>
      <c r="E19" s="552"/>
      <c r="F19" s="553"/>
      <c r="H19" s="563" t="s">
        <v>1023</v>
      </c>
      <c r="I19" s="699" t="e">
        <f>C34</f>
        <v>#N/A</v>
      </c>
      <c r="J19" s="563" t="s">
        <v>718</v>
      </c>
    </row>
    <row r="21" spans="1:14" ht="20" thickBot="1" x14ac:dyDescent="0.5">
      <c r="B21" s="426" t="s">
        <v>913</v>
      </c>
      <c r="C21" s="426"/>
      <c r="D21" s="426"/>
      <c r="E21" s="426"/>
      <c r="F21" s="426"/>
      <c r="G21" s="426"/>
      <c r="H21" s="426"/>
    </row>
    <row r="22" spans="1:14" ht="30.5" thickTop="1" thickBot="1" x14ac:dyDescent="0.45">
      <c r="B22" s="391" t="s">
        <v>685</v>
      </c>
      <c r="C22" s="555" t="s">
        <v>686</v>
      </c>
      <c r="D22" s="555" t="s">
        <v>687</v>
      </c>
      <c r="E22" s="555" t="s">
        <v>688</v>
      </c>
      <c r="F22" s="555" t="s">
        <v>548</v>
      </c>
      <c r="G22" s="432" t="s">
        <v>689</v>
      </c>
      <c r="H22" s="556" t="s">
        <v>690</v>
      </c>
    </row>
    <row r="23" spans="1:14" ht="15" thickTop="1" x14ac:dyDescent="0.35">
      <c r="A23" t="s">
        <v>490</v>
      </c>
      <c r="B23" t="s">
        <v>915</v>
      </c>
      <c r="C23" s="568" t="e">
        <f>IF(K7&gt;50000,2,1)</f>
        <v>#N/A</v>
      </c>
      <c r="D23" s="387" t="s">
        <v>692</v>
      </c>
      <c r="E23" s="443">
        <v>165000</v>
      </c>
      <c r="F23" s="434" t="e">
        <f>IF(A23="x",C23*E23,0)</f>
        <v>#N/A</v>
      </c>
      <c r="G23" s="382">
        <f>Rolling_Stock_Amortisation</f>
        <v>8</v>
      </c>
      <c r="H23" s="434" t="e">
        <f>PMT($C$14, G23, -F23)</f>
        <v>#N/A</v>
      </c>
      <c r="I23" t="s">
        <v>916</v>
      </c>
    </row>
    <row r="24" spans="1:14" x14ac:dyDescent="0.35">
      <c r="A24" t="s">
        <v>490</v>
      </c>
      <c r="B24" t="s">
        <v>1026</v>
      </c>
      <c r="C24" s="438">
        <v>1</v>
      </c>
      <c r="D24" s="387" t="s">
        <v>692</v>
      </c>
      <c r="E24" s="443">
        <v>40000</v>
      </c>
      <c r="F24" s="443">
        <f t="shared" ref="F24:F30" si="0">IF(A24="x",C24*E24,0)</f>
        <v>40000</v>
      </c>
      <c r="G24" s="438">
        <f>Rolling_Stock_Amortisation</f>
        <v>8</v>
      </c>
      <c r="H24" s="443">
        <f t="shared" ref="H24:H30" si="1">PMT($C$14, G24, -F24)</f>
        <v>5698.255553089567</v>
      </c>
      <c r="I24" s="563" t="s">
        <v>1027</v>
      </c>
    </row>
    <row r="25" spans="1:14" x14ac:dyDescent="0.35">
      <c r="A25" t="s">
        <v>490</v>
      </c>
      <c r="B25" t="s">
        <v>1031</v>
      </c>
      <c r="C25" s="382">
        <v>1</v>
      </c>
      <c r="D25" s="387" t="s">
        <v>692</v>
      </c>
      <c r="E25" s="700">
        <f>62500*2</f>
        <v>125000</v>
      </c>
      <c r="F25" s="434">
        <f>IF(A25="x",C25*E25,0)</f>
        <v>125000</v>
      </c>
      <c r="G25" s="382">
        <f>Equipment_Amortisation</f>
        <v>10</v>
      </c>
      <c r="H25" s="434">
        <f>PMT($C$14, G25, -F25)</f>
        <v>14653.813325644947</v>
      </c>
      <c r="I25" s="563" t="s">
        <v>1028</v>
      </c>
    </row>
    <row r="26" spans="1:14" x14ac:dyDescent="0.35">
      <c r="A26" t="s">
        <v>490</v>
      </c>
      <c r="B26" t="s">
        <v>917</v>
      </c>
      <c r="C26" s="382">
        <v>1</v>
      </c>
      <c r="D26" s="387" t="s">
        <v>692</v>
      </c>
      <c r="E26" s="700" t="e">
        <f>IF('Compost Equip'!J8&gt;10,'Compost Equip'!J4,IF('Compost Equip'!I8&gt;10,'Compost Equip'!I4,IF('Compost Equip'!H8&gt;10,'Compost Equip'!H4,IF('Compost Equip'!G8&gt;10,'Compost Equip'!G4,IF('Compost Equip'!F8&gt;10,'Compost Equip'!F4,IF('Compost Equip'!E8&gt;10,'Compost Equip'!E4,IF('Compost Equip'!D8&gt;10,'Compost Equip'!D4,'Compost Equip'!C4)))))))</f>
        <v>#N/A</v>
      </c>
      <c r="F26" s="434" t="e">
        <f t="shared" si="0"/>
        <v>#N/A</v>
      </c>
      <c r="G26" s="382">
        <f>Equipment_Amortisation</f>
        <v>10</v>
      </c>
      <c r="H26" s="434" t="e">
        <f t="shared" si="1"/>
        <v>#N/A</v>
      </c>
      <c r="I26" t="s">
        <v>699</v>
      </c>
    </row>
    <row r="27" spans="1:14" x14ac:dyDescent="0.35">
      <c r="A27" t="s">
        <v>490</v>
      </c>
      <c r="B27" t="s">
        <v>702</v>
      </c>
      <c r="C27" s="382">
        <v>1</v>
      </c>
      <c r="D27" s="387" t="s">
        <v>692</v>
      </c>
      <c r="E27" s="700" t="e">
        <f>IF('Compost Equip'!J20&gt;20,'Compost Equip'!J16,IF('Compost Equip'!I20&gt;20,'Compost Equip'!I16,IF('Compost Equip'!H20&gt;20,'Compost Equip'!H16,IF('Compost Equip'!G20&gt;20,'Compost Equip'!G16,IF('Compost Equip'!F20&gt;20,'Compost Equip'!F16,IF('Compost Equip'!E20&gt;20,'Compost Equip'!E16,IF('Compost Equip'!D20&gt;20,'Compost Equip'!D16,'Compost Equip'!C16)))))))</f>
        <v>#N/A</v>
      </c>
      <c r="F27" s="434" t="e">
        <f t="shared" si="0"/>
        <v>#N/A</v>
      </c>
      <c r="G27" s="382">
        <f>Equipment_Amortisation</f>
        <v>10</v>
      </c>
      <c r="H27" s="434" t="e">
        <f t="shared" si="1"/>
        <v>#N/A</v>
      </c>
      <c r="I27" t="s">
        <v>918</v>
      </c>
    </row>
    <row r="28" spans="1:14" x14ac:dyDescent="0.35">
      <c r="B28" s="19" t="s">
        <v>919</v>
      </c>
      <c r="C28" s="382">
        <v>1</v>
      </c>
      <c r="D28" s="387" t="s">
        <v>692</v>
      </c>
      <c r="E28" s="434">
        <v>50000</v>
      </c>
      <c r="F28" s="434">
        <f t="shared" si="0"/>
        <v>0</v>
      </c>
      <c r="G28" s="382">
        <f>Rolling_Stock_Amortisation</f>
        <v>8</v>
      </c>
      <c r="H28" s="434">
        <f>PMT($C$14, G28, -F28)</f>
        <v>0</v>
      </c>
      <c r="I28" t="s">
        <v>705</v>
      </c>
    </row>
    <row r="29" spans="1:14" x14ac:dyDescent="0.35">
      <c r="A29" t="s">
        <v>490</v>
      </c>
      <c r="B29" t="s">
        <v>920</v>
      </c>
      <c r="C29" s="382">
        <v>1</v>
      </c>
      <c r="D29" s="387" t="s">
        <v>692</v>
      </c>
      <c r="E29" s="441">
        <v>40000</v>
      </c>
      <c r="F29" s="434">
        <f t="shared" si="0"/>
        <v>40000</v>
      </c>
      <c r="G29" s="382">
        <f>Rolling_Stock_Amortisation</f>
        <v>8</v>
      </c>
      <c r="H29" s="434">
        <f t="shared" si="1"/>
        <v>5698.255553089567</v>
      </c>
      <c r="I29" t="s">
        <v>707</v>
      </c>
    </row>
    <row r="30" spans="1:14" x14ac:dyDescent="0.35">
      <c r="A30" t="s">
        <v>490</v>
      </c>
      <c r="B30" t="s">
        <v>921</v>
      </c>
      <c r="C30" s="382">
        <v>1</v>
      </c>
      <c r="D30" s="387" t="s">
        <v>692</v>
      </c>
      <c r="E30" s="557">
        <v>60000</v>
      </c>
      <c r="F30" s="434">
        <f t="shared" si="0"/>
        <v>60000</v>
      </c>
      <c r="G30" s="382">
        <f>Equipment_Amortisation</f>
        <v>10</v>
      </c>
      <c r="H30" s="434">
        <f t="shared" si="1"/>
        <v>7033.830396309575</v>
      </c>
      <c r="I30" t="s">
        <v>922</v>
      </c>
    </row>
    <row r="31" spans="1:14" ht="15" thickBot="1" x14ac:dyDescent="0.4">
      <c r="C31" s="382"/>
      <c r="E31" s="421" t="s">
        <v>711</v>
      </c>
      <c r="F31" s="444" t="e">
        <f>SUM(F24:F30)</f>
        <v>#N/A</v>
      </c>
      <c r="G31" s="421" t="s">
        <v>711</v>
      </c>
      <c r="H31" s="444" t="e">
        <f>SUM(H24:H30)</f>
        <v>#N/A</v>
      </c>
    </row>
    <row r="32" spans="1:14" ht="18" thickTop="1" thickBot="1" x14ac:dyDescent="0.45">
      <c r="B32" s="391" t="s">
        <v>712</v>
      </c>
      <c r="C32" s="391"/>
      <c r="D32" s="391"/>
      <c r="E32" s="503"/>
      <c r="F32" s="503"/>
      <c r="G32" s="503"/>
      <c r="H32" s="503"/>
      <c r="L32" t="s">
        <v>962</v>
      </c>
      <c r="M32" s="689">
        <v>0.5</v>
      </c>
      <c r="N32" s="406"/>
    </row>
    <row r="33" spans="1:16" ht="17.5" thickTop="1" x14ac:dyDescent="0.4">
      <c r="B33" s="701" t="s">
        <v>714</v>
      </c>
      <c r="C33" s="687"/>
      <c r="D33" s="687"/>
      <c r="E33" s="688"/>
      <c r="F33" s="688"/>
      <c r="G33" s="688"/>
      <c r="H33" s="688"/>
      <c r="L33" t="s">
        <v>985</v>
      </c>
      <c r="M33" s="437" t="e">
        <f>I7/26</f>
        <v>#N/A</v>
      </c>
      <c r="N33" t="s">
        <v>986</v>
      </c>
    </row>
    <row r="34" spans="1:16" s="406" customFormat="1" x14ac:dyDescent="0.35">
      <c r="A34" t="s">
        <v>490</v>
      </c>
      <c r="B34" t="s">
        <v>717</v>
      </c>
      <c r="C34" s="702" t="e">
        <f>ROUND(C36+(C40/43560),1)</f>
        <v>#N/A</v>
      </c>
      <c r="D34" t="s">
        <v>718</v>
      </c>
      <c r="E34" s="703">
        <v>1500</v>
      </c>
      <c r="F34" s="704" t="e">
        <f>IF(A34="x",C34*E34,0)</f>
        <v>#N/A</v>
      </c>
      <c r="G34" s="705">
        <f t="shared" ref="G34:G39" si="2">Building_Cost_Amortisation</f>
        <v>20</v>
      </c>
      <c r="H34" s="704" t="e">
        <f>PMT($C$14, G34, -F34)</f>
        <v>#N/A</v>
      </c>
      <c r="I34" s="437"/>
      <c r="L34" t="s">
        <v>985</v>
      </c>
      <c r="M34" s="437" t="e">
        <f>K7/26</f>
        <v>#N/A</v>
      </c>
      <c r="N34" t="s">
        <v>677</v>
      </c>
      <c r="O34"/>
      <c r="P34"/>
    </row>
    <row r="35" spans="1:16" s="406" customFormat="1" x14ac:dyDescent="0.35">
      <c r="A35" t="s">
        <v>490</v>
      </c>
      <c r="B35" t="s">
        <v>721</v>
      </c>
      <c r="C35" s="705" t="e">
        <f>I19</f>
        <v>#N/A</v>
      </c>
      <c r="D35" t="s">
        <v>1019</v>
      </c>
      <c r="E35" s="703">
        <v>2500</v>
      </c>
      <c r="F35" s="704" t="e">
        <f>IF(A35="x",C35*E35,0)</f>
        <v>#N/A</v>
      </c>
      <c r="G35" s="705">
        <f t="shared" si="2"/>
        <v>20</v>
      </c>
      <c r="H35" s="704" t="e">
        <f t="shared" ref="H35" si="3">PMT($C$14, G35, -F35)</f>
        <v>#N/A</v>
      </c>
      <c r="I35" s="437"/>
      <c r="L35" t="s">
        <v>987</v>
      </c>
      <c r="M35" s="437">
        <f>'ASP Model_YW+FW'!M92</f>
        <v>441.11111111111114</v>
      </c>
      <c r="N35" t="s">
        <v>986</v>
      </c>
      <c r="O35"/>
      <c r="P35"/>
    </row>
    <row r="36" spans="1:16" s="406" customFormat="1" x14ac:dyDescent="0.35">
      <c r="A36" t="s">
        <v>490</v>
      </c>
      <c r="B36" t="s">
        <v>923</v>
      </c>
      <c r="C36" s="702" t="e">
        <f>C38+C39</f>
        <v>#N/A</v>
      </c>
      <c r="D36" t="s">
        <v>718</v>
      </c>
      <c r="E36" s="704">
        <f>2*43560</f>
        <v>87120</v>
      </c>
      <c r="F36" s="704" t="e">
        <f>IF(A36="x",C36*E36,0)</f>
        <v>#N/A</v>
      </c>
      <c r="G36" s="705">
        <f t="shared" si="2"/>
        <v>20</v>
      </c>
      <c r="H36" s="704" t="e">
        <f>PMT($C$14, G36, -F36)</f>
        <v>#N/A</v>
      </c>
      <c r="I36" s="437" t="e">
        <f>C36/43000</f>
        <v>#N/A</v>
      </c>
      <c r="L36" t="s">
        <v>987</v>
      </c>
      <c r="M36" s="437">
        <f>'ASP Model_YW+FW'!M93</f>
        <v>1764.4444444444446</v>
      </c>
      <c r="N36" t="s">
        <v>677</v>
      </c>
      <c r="O36"/>
      <c r="P36"/>
    </row>
    <row r="37" spans="1:16" s="406" customFormat="1" x14ac:dyDescent="0.35">
      <c r="A37"/>
      <c r="B37" t="s">
        <v>924</v>
      </c>
      <c r="C37" s="705" t="e">
        <f>K18*43000</f>
        <v>#N/A</v>
      </c>
      <c r="D37" t="s">
        <v>647</v>
      </c>
      <c r="E37" s="706">
        <v>3</v>
      </c>
      <c r="F37" s="704">
        <f>IF(A37="x",C37*E37,0)</f>
        <v>0</v>
      </c>
      <c r="G37" s="705">
        <f t="shared" si="2"/>
        <v>20</v>
      </c>
      <c r="H37" s="704">
        <f>PMT($C$14, G37, -F37)</f>
        <v>0</v>
      </c>
      <c r="I37"/>
      <c r="L37" t="s">
        <v>988</v>
      </c>
      <c r="M37" s="437" t="e">
        <f>(M32*K5)/26</f>
        <v>#N/A</v>
      </c>
      <c r="N37" t="s">
        <v>677</v>
      </c>
      <c r="O37"/>
      <c r="P37"/>
    </row>
    <row r="38" spans="1:16" s="406" customFormat="1" x14ac:dyDescent="0.35">
      <c r="A38" t="s">
        <v>490</v>
      </c>
      <c r="B38" t="s">
        <v>1020</v>
      </c>
      <c r="C38" s="702" t="e">
        <f>K18</f>
        <v>#N/A</v>
      </c>
      <c r="D38" t="s">
        <v>718</v>
      </c>
      <c r="E38" s="703">
        <v>108900</v>
      </c>
      <c r="F38" s="704" t="e">
        <f t="shared" ref="F38:F39" si="4">IF(A38="x",C38*E38,0)</f>
        <v>#N/A</v>
      </c>
      <c r="G38" s="705">
        <f t="shared" si="2"/>
        <v>20</v>
      </c>
      <c r="H38" s="704" t="e">
        <f t="shared" ref="H38:H39" si="5">PMT($C$14, G38, -F38)</f>
        <v>#N/A</v>
      </c>
      <c r="I38" s="437"/>
      <c r="L38" t="s">
        <v>990</v>
      </c>
      <c r="M38" s="504" t="e">
        <f>M36/M34</f>
        <v>#N/A</v>
      </c>
      <c r="N38"/>
    </row>
    <row r="39" spans="1:16" s="406" customFormat="1" x14ac:dyDescent="0.35">
      <c r="A39" t="s">
        <v>490</v>
      </c>
      <c r="B39" t="s">
        <v>1021</v>
      </c>
      <c r="C39" s="702" t="e">
        <f>K18</f>
        <v>#N/A</v>
      </c>
      <c r="D39" t="s">
        <v>718</v>
      </c>
      <c r="E39" s="703">
        <v>108900</v>
      </c>
      <c r="F39" s="704" t="e">
        <f t="shared" si="4"/>
        <v>#N/A</v>
      </c>
      <c r="G39" s="705">
        <f t="shared" si="2"/>
        <v>20</v>
      </c>
      <c r="H39" s="704" t="e">
        <f t="shared" si="5"/>
        <v>#N/A</v>
      </c>
      <c r="I39" s="437"/>
      <c r="L39" t="s">
        <v>1035</v>
      </c>
      <c r="M39" s="438" t="e">
        <f>C89/12</f>
        <v>#N/A</v>
      </c>
      <c r="N39" t="s">
        <v>677</v>
      </c>
    </row>
    <row r="40" spans="1:16" s="406" customFormat="1" x14ac:dyDescent="0.35">
      <c r="A40" t="s">
        <v>490</v>
      </c>
      <c r="B40" t="s">
        <v>738</v>
      </c>
      <c r="C40" s="705">
        <f>C41+C42</f>
        <v>25000</v>
      </c>
      <c r="D40" t="s">
        <v>647</v>
      </c>
      <c r="E40" s="706">
        <v>0.68</v>
      </c>
      <c r="F40" s="704">
        <f>IF(A40="x",C40*E40,0)</f>
        <v>17000</v>
      </c>
      <c r="G40" s="705">
        <f>Building_Cost_Amortisation</f>
        <v>20</v>
      </c>
      <c r="H40" s="704">
        <f t="shared" ref="H40:H48" si="6">PMT($C$14, G40, -F40)</f>
        <v>1142.667029146605</v>
      </c>
      <c r="I40" s="410">
        <f>C40/43000</f>
        <v>0.58139534883720934</v>
      </c>
      <c r="L40"/>
      <c r="M40"/>
      <c r="N40"/>
    </row>
    <row r="41" spans="1:16" s="406" customFormat="1" x14ac:dyDescent="0.35">
      <c r="A41" t="s">
        <v>490</v>
      </c>
      <c r="B41" t="s">
        <v>741</v>
      </c>
      <c r="C41" s="707">
        <v>20000</v>
      </c>
      <c r="D41" t="s">
        <v>647</v>
      </c>
      <c r="E41" s="706">
        <v>2.5</v>
      </c>
      <c r="F41" s="704">
        <f>IF(A41="x",C41*E41,0)</f>
        <v>50000</v>
      </c>
      <c r="G41" s="705">
        <f>Building_Cost_Amortisation</f>
        <v>20</v>
      </c>
      <c r="H41" s="704">
        <f t="shared" si="6"/>
        <v>3360.785379842956</v>
      </c>
      <c r="I41" s="410">
        <f>C41/43000</f>
        <v>0.46511627906976744</v>
      </c>
      <c r="L41"/>
      <c r="M41" t="s">
        <v>959</v>
      </c>
      <c r="N41" s="383" t="s">
        <v>35</v>
      </c>
      <c r="O41" t="s">
        <v>851</v>
      </c>
      <c r="P41"/>
    </row>
    <row r="42" spans="1:16" s="406" customFormat="1" x14ac:dyDescent="0.35">
      <c r="A42" t="s">
        <v>490</v>
      </c>
      <c r="B42" t="s">
        <v>925</v>
      </c>
      <c r="C42" s="705">
        <f>100*50</f>
        <v>5000</v>
      </c>
      <c r="D42" t="s">
        <v>647</v>
      </c>
      <c r="E42" s="706">
        <v>40</v>
      </c>
      <c r="F42" s="704">
        <f>IF(A42="x",C42*E42,0)</f>
        <v>200000</v>
      </c>
      <c r="G42" s="705">
        <f>Building_Cost_Amortisation</f>
        <v>20</v>
      </c>
      <c r="H42" s="704">
        <f t="shared" si="6"/>
        <v>13443.141519371824</v>
      </c>
      <c r="I42" s="410">
        <f>C42/43000</f>
        <v>0.11627906976744186</v>
      </c>
      <c r="L42" s="573" t="s">
        <v>978</v>
      </c>
      <c r="M42" s="573">
        <v>500</v>
      </c>
      <c r="N42" s="573"/>
      <c r="O42" s="573">
        <v>750</v>
      </c>
      <c r="P42" s="573" t="s">
        <v>960</v>
      </c>
    </row>
    <row r="43" spans="1:16" s="406" customFormat="1" x14ac:dyDescent="0.35">
      <c r="A43" t="s">
        <v>490</v>
      </c>
      <c r="B43" t="s">
        <v>746</v>
      </c>
      <c r="C43" s="705">
        <v>1</v>
      </c>
      <c r="D43" t="s">
        <v>710</v>
      </c>
      <c r="E43" s="704">
        <v>40000</v>
      </c>
      <c r="F43" s="704">
        <f>IF(A43="x",C43*E43,0)</f>
        <v>40000</v>
      </c>
      <c r="G43" s="705">
        <v>20</v>
      </c>
      <c r="H43" s="704">
        <f>PMT($C$14, G43, -F43)</f>
        <v>2688.628303874365</v>
      </c>
      <c r="I43">
        <v>8</v>
      </c>
      <c r="L43" t="s">
        <v>979</v>
      </c>
      <c r="M43">
        <v>1</v>
      </c>
      <c r="N43"/>
      <c r="O43">
        <v>3</v>
      </c>
      <c r="P43" t="s">
        <v>961</v>
      </c>
    </row>
    <row r="44" spans="1:16" x14ac:dyDescent="0.35">
      <c r="C44" s="705"/>
      <c r="E44" s="706"/>
      <c r="F44" s="704"/>
      <c r="G44" s="705"/>
      <c r="H44" s="704"/>
      <c r="I44" s="410"/>
      <c r="L44" s="574" t="s">
        <v>980</v>
      </c>
      <c r="M44" s="586" t="e">
        <f>(K7+C88+C89)/M42</f>
        <v>#N/A</v>
      </c>
      <c r="N44" s="574"/>
      <c r="O44" s="575" t="e">
        <f>(#REF!+C96+(C98*2000/#REF!)+C99)/O42</f>
        <v>#REF!</v>
      </c>
      <c r="P44" s="574" t="s">
        <v>977</v>
      </c>
    </row>
    <row r="45" spans="1:16" x14ac:dyDescent="0.35">
      <c r="B45" s="567" t="s">
        <v>760</v>
      </c>
      <c r="C45" s="705"/>
      <c r="E45" s="706"/>
      <c r="F45" s="704"/>
      <c r="G45" s="705"/>
      <c r="H45" s="704"/>
      <c r="I45" s="410"/>
      <c r="L45" s="573" t="s">
        <v>965</v>
      </c>
      <c r="M45" s="573">
        <v>10</v>
      </c>
      <c r="N45" s="576">
        <f>AVERAGE(M45,O45)</f>
        <v>255</v>
      </c>
      <c r="O45" s="573">
        <v>500</v>
      </c>
      <c r="P45" s="573" t="s">
        <v>960</v>
      </c>
    </row>
    <row r="46" spans="1:16" x14ac:dyDescent="0.35">
      <c r="A46" t="s">
        <v>490</v>
      </c>
      <c r="B46" t="s">
        <v>1018</v>
      </c>
      <c r="C46" s="705">
        <f>50*75</f>
        <v>3750</v>
      </c>
      <c r="D46" t="s">
        <v>647</v>
      </c>
      <c r="E46" s="708">
        <v>125</v>
      </c>
      <c r="F46" s="704">
        <f>IF(A46="x",C46*E46,0)</f>
        <v>468750</v>
      </c>
      <c r="G46" s="705">
        <f>Building_Cost_Amortisation</f>
        <v>20</v>
      </c>
      <c r="H46" s="704"/>
      <c r="I46" s="410"/>
      <c r="L46" t="s">
        <v>964</v>
      </c>
      <c r="M46" s="572">
        <f>20000*(1+R54)</f>
        <v>20000</v>
      </c>
      <c r="N46" s="506"/>
      <c r="O46" s="572">
        <f>700000*(1+R54)</f>
        <v>700000</v>
      </c>
      <c r="P46" t="s">
        <v>970</v>
      </c>
    </row>
    <row r="47" spans="1:16" x14ac:dyDescent="0.35">
      <c r="A47" t="s">
        <v>490</v>
      </c>
      <c r="B47" s="19" t="s">
        <v>765</v>
      </c>
      <c r="C47" s="705">
        <v>1</v>
      </c>
      <c r="D47" t="s">
        <v>710</v>
      </c>
      <c r="E47" s="704">
        <v>30000</v>
      </c>
      <c r="F47" s="704">
        <f>IF(A47="x",C47*E47,0)</f>
        <v>30000</v>
      </c>
      <c r="G47" s="705">
        <f>Building_Cost_Amortisation</f>
        <v>20</v>
      </c>
      <c r="H47" s="704">
        <f t="shared" si="6"/>
        <v>2016.4712279057737</v>
      </c>
      <c r="L47" t="s">
        <v>962</v>
      </c>
      <c r="M47" s="572"/>
      <c r="N47" s="578">
        <v>0.5</v>
      </c>
      <c r="O47" s="572"/>
      <c r="P47" t="s">
        <v>684</v>
      </c>
    </row>
    <row r="48" spans="1:16" x14ac:dyDescent="0.35">
      <c r="A48" t="s">
        <v>490</v>
      </c>
      <c r="B48" t="s">
        <v>767</v>
      </c>
      <c r="C48" s="705">
        <v>600</v>
      </c>
      <c r="D48" t="s">
        <v>647</v>
      </c>
      <c r="E48" s="704">
        <v>50</v>
      </c>
      <c r="F48" s="704">
        <f>IF(A48="x",C48*E48,0)</f>
        <v>30000</v>
      </c>
      <c r="G48" s="705">
        <f>Building_Cost_Amortisation</f>
        <v>20</v>
      </c>
      <c r="H48" s="704">
        <f t="shared" si="6"/>
        <v>2016.4712279057737</v>
      </c>
      <c r="L48" t="s">
        <v>974</v>
      </c>
      <c r="M48" s="572"/>
      <c r="N48" s="506" t="e">
        <f>N47*#REF!</f>
        <v>#REF!</v>
      </c>
      <c r="O48" s="572"/>
      <c r="P48" t="s">
        <v>982</v>
      </c>
    </row>
    <row r="49" spans="1:16" x14ac:dyDescent="0.35">
      <c r="C49" s="705"/>
      <c r="E49" s="704"/>
      <c r="F49" s="704"/>
      <c r="G49" s="705"/>
      <c r="H49" s="704"/>
      <c r="L49" t="s">
        <v>971</v>
      </c>
      <c r="M49" s="572"/>
      <c r="N49" s="590" t="e">
        <f>N48/N45</f>
        <v>#REF!</v>
      </c>
      <c r="O49" s="572"/>
      <c r="P49" t="s">
        <v>977</v>
      </c>
    </row>
    <row r="50" spans="1:16" s="406" customFormat="1" x14ac:dyDescent="0.35">
      <c r="A50"/>
      <c r="B50" s="448" t="s">
        <v>771</v>
      </c>
      <c r="C50" s="705"/>
      <c r="D50"/>
      <c r="E50" s="704"/>
      <c r="F50" s="704"/>
      <c r="G50" s="705"/>
      <c r="H50" s="704"/>
      <c r="I50"/>
      <c r="L50"/>
      <c r="M50" s="572"/>
      <c r="N50" s="590"/>
      <c r="O50" s="572"/>
      <c r="P50"/>
    </row>
    <row r="51" spans="1:16" s="406" customFormat="1" x14ac:dyDescent="0.35">
      <c r="A51" t="s">
        <v>490</v>
      </c>
      <c r="B51" t="s">
        <v>772</v>
      </c>
      <c r="C51" s="705">
        <v>1</v>
      </c>
      <c r="D51" t="s">
        <v>710</v>
      </c>
      <c r="E51" s="704">
        <v>40000</v>
      </c>
      <c r="F51" s="704">
        <f>IF(A51="x",C51*E51,0)</f>
        <v>40000</v>
      </c>
      <c r="G51" s="705">
        <f>Building_Cost_Amortisation</f>
        <v>20</v>
      </c>
      <c r="H51" s="704">
        <f>PMT($C$14, G51, -F51)</f>
        <v>2688.628303874365</v>
      </c>
      <c r="I51"/>
      <c r="L51"/>
      <c r="M51" s="572"/>
      <c r="N51" s="590"/>
      <c r="O51" s="572"/>
      <c r="P51"/>
    </row>
    <row r="52" spans="1:16" s="406" customFormat="1" x14ac:dyDescent="0.35">
      <c r="A52" t="s">
        <v>490</v>
      </c>
      <c r="B52" t="s">
        <v>324</v>
      </c>
      <c r="C52" s="705">
        <v>1</v>
      </c>
      <c r="D52" t="s">
        <v>710</v>
      </c>
      <c r="E52" s="704">
        <v>100000</v>
      </c>
      <c r="F52" s="704">
        <f>IF(A52="x",C52*E52,0)</f>
        <v>100000</v>
      </c>
      <c r="G52" s="705">
        <f>Equipment_Amortisation</f>
        <v>10</v>
      </c>
      <c r="H52" s="704">
        <f>PMT($C$14, G52, -F52)</f>
        <v>11723.050660515959</v>
      </c>
      <c r="I52"/>
      <c r="L52"/>
      <c r="M52" s="572"/>
      <c r="N52" s="590"/>
      <c r="O52" s="572"/>
      <c r="P52"/>
    </row>
    <row r="53" spans="1:16" s="406" customFormat="1" x14ac:dyDescent="0.35">
      <c r="A53" t="s">
        <v>490</v>
      </c>
      <c r="B53" t="s">
        <v>778</v>
      </c>
      <c r="C53" s="705" t="e">
        <f>(C34*43560)^(1/2)*4*1.5</f>
        <v>#N/A</v>
      </c>
      <c r="D53" t="s">
        <v>774</v>
      </c>
      <c r="E53" s="706">
        <v>12</v>
      </c>
      <c r="F53" s="704" t="e">
        <f t="shared" ref="F53" si="7">C53*E53</f>
        <v>#N/A</v>
      </c>
      <c r="G53" s="705">
        <f>Equipment_Amortisation</f>
        <v>10</v>
      </c>
      <c r="H53" s="704" t="e">
        <f>PMT($C$14, G53, -F53)</f>
        <v>#N/A</v>
      </c>
      <c r="I53"/>
      <c r="L53"/>
      <c r="M53" s="572"/>
      <c r="N53" s="590"/>
      <c r="O53" s="572"/>
      <c r="P53"/>
    </row>
    <row r="54" spans="1:16" s="406" customFormat="1" x14ac:dyDescent="0.35">
      <c r="A54" t="s">
        <v>490</v>
      </c>
      <c r="B54" t="s">
        <v>781</v>
      </c>
      <c r="C54" s="705">
        <v>1</v>
      </c>
      <c r="D54" t="s">
        <v>710</v>
      </c>
      <c r="E54" s="704">
        <v>5000</v>
      </c>
      <c r="F54" s="704">
        <f>IF(A54="x",C54*E54,0)</f>
        <v>5000</v>
      </c>
      <c r="G54" s="705">
        <f>Equipment_Amortisation</f>
        <v>10</v>
      </c>
      <c r="H54" s="704">
        <f>PMT($C$14, G54, -F54)</f>
        <v>586.15253302579799</v>
      </c>
      <c r="I54"/>
      <c r="L54" s="573" t="s">
        <v>966</v>
      </c>
      <c r="M54" s="573">
        <v>20</v>
      </c>
      <c r="N54" s="576">
        <f t="shared" ref="N54:N62" si="8">AVERAGE(M54,O54)</f>
        <v>1010</v>
      </c>
      <c r="O54" s="573">
        <v>2000</v>
      </c>
      <c r="P54" s="573" t="s">
        <v>960</v>
      </c>
    </row>
    <row r="55" spans="1:16" s="406" customFormat="1" x14ac:dyDescent="0.35">
      <c r="A55"/>
      <c r="B55"/>
      <c r="C55" s="705"/>
      <c r="D55"/>
      <c r="E55" s="704"/>
      <c r="F55" s="704"/>
      <c r="G55" s="705"/>
      <c r="H55" s="704"/>
      <c r="I55"/>
      <c r="L55" t="s">
        <v>967</v>
      </c>
      <c r="M55" s="572">
        <f>20000*(1+R54)</f>
        <v>20000</v>
      </c>
      <c r="N55" s="506"/>
      <c r="O55" s="572">
        <f>50000*(1+R54)</f>
        <v>50000</v>
      </c>
      <c r="P55" t="s">
        <v>970</v>
      </c>
    </row>
    <row r="56" spans="1:16" x14ac:dyDescent="0.35">
      <c r="B56" s="567" t="s">
        <v>792</v>
      </c>
      <c r="C56" s="705"/>
      <c r="E56" s="704"/>
      <c r="F56" s="704"/>
      <c r="G56" s="705"/>
      <c r="H56" s="704"/>
      <c r="L56" t="s">
        <v>975</v>
      </c>
      <c r="M56" s="572"/>
      <c r="N56" s="506" t="e">
        <f>#REF!*2000/#REF!</f>
        <v>#REF!</v>
      </c>
      <c r="O56" s="572"/>
      <c r="P56" t="s">
        <v>982</v>
      </c>
    </row>
    <row r="57" spans="1:16" s="406" customFormat="1" x14ac:dyDescent="0.35">
      <c r="A57" t="s">
        <v>490</v>
      </c>
      <c r="B57" t="s">
        <v>794</v>
      </c>
      <c r="C57" s="702" t="e">
        <f>I19</f>
        <v>#N/A</v>
      </c>
      <c r="D57" t="s">
        <v>723</v>
      </c>
      <c r="E57" s="704">
        <v>1000</v>
      </c>
      <c r="F57" s="704" t="e">
        <f>IF(A57="x",C57*E57,0)</f>
        <v>#N/A</v>
      </c>
      <c r="G57" s="705">
        <v>20</v>
      </c>
      <c r="H57" s="704" t="e">
        <f>PMT($C$14, G57, -F57)</f>
        <v>#N/A</v>
      </c>
      <c r="I57"/>
      <c r="L57" s="574" t="s">
        <v>972</v>
      </c>
      <c r="M57" s="577"/>
      <c r="N57" s="710" t="e">
        <f>N56/N54</f>
        <v>#REF!</v>
      </c>
      <c r="O57" s="577"/>
      <c r="P57" s="574" t="s">
        <v>977</v>
      </c>
    </row>
    <row r="58" spans="1:16" s="406" customFormat="1" x14ac:dyDescent="0.35">
      <c r="A58" t="s">
        <v>490</v>
      </c>
      <c r="B58" t="s">
        <v>793</v>
      </c>
      <c r="C58" s="709">
        <v>0.05</v>
      </c>
      <c r="D58"/>
      <c r="E58" s="704" t="e">
        <f>SUM(F36:F54)+F57</f>
        <v>#N/A</v>
      </c>
      <c r="F58" s="704" t="e">
        <f>IF(A58="x",C58*E58,0)</f>
        <v>#N/A</v>
      </c>
      <c r="G58" s="705">
        <v>20</v>
      </c>
      <c r="H58" s="704" t="e">
        <f>PMT($C$14, G58, -F58)</f>
        <v>#N/A</v>
      </c>
      <c r="I58"/>
      <c r="L58" t="s">
        <v>1025</v>
      </c>
      <c r="M58">
        <v>9</v>
      </c>
      <c r="N58"/>
      <c r="O58"/>
      <c r="P58"/>
    </row>
    <row r="59" spans="1:16" ht="15" thickBot="1" x14ac:dyDescent="0.4">
      <c r="E59" s="476" t="s">
        <v>711</v>
      </c>
      <c r="F59" s="444" t="e">
        <f>SUM(F34:F58)</f>
        <v>#N/A</v>
      </c>
      <c r="G59" s="476" t="s">
        <v>711</v>
      </c>
      <c r="H59" s="444" t="e">
        <f>SUM(H34:H58)</f>
        <v>#N/A</v>
      </c>
      <c r="L59" t="s">
        <v>1029</v>
      </c>
      <c r="M59">
        <f>52/4</f>
        <v>13</v>
      </c>
      <c r="N59" s="406"/>
      <c r="O59" s="406"/>
    </row>
    <row r="60" spans="1:16" ht="15" thickTop="1" x14ac:dyDescent="0.35">
      <c r="F60" s="477"/>
      <c r="L60" t="s">
        <v>1030</v>
      </c>
      <c r="M60">
        <v>3000</v>
      </c>
      <c r="N60" t="s">
        <v>960</v>
      </c>
      <c r="O60" s="406"/>
    </row>
    <row r="61" spans="1:16" x14ac:dyDescent="0.35">
      <c r="A61" t="s">
        <v>490</v>
      </c>
      <c r="B61" s="691" t="s">
        <v>787</v>
      </c>
      <c r="C61" s="689">
        <v>0.15</v>
      </c>
      <c r="E61" s="480" t="e">
        <f>F59</f>
        <v>#N/A</v>
      </c>
      <c r="F61" s="477" t="e">
        <f>IF(A61="x",C61*E61,0)</f>
        <v>#N/A</v>
      </c>
      <c r="G61">
        <v>20</v>
      </c>
      <c r="H61" s="572" t="e">
        <f>PMT($C$14,G61,-F61)</f>
        <v>#N/A</v>
      </c>
      <c r="L61" t="s">
        <v>1032</v>
      </c>
      <c r="M61" s="699" t="e">
        <f>ROUND(K7/(M60*0.8),0)*M59</f>
        <v>#N/A</v>
      </c>
      <c r="N61" t="s">
        <v>1033</v>
      </c>
      <c r="O61" s="406"/>
    </row>
    <row r="62" spans="1:16" x14ac:dyDescent="0.35">
      <c r="A62" t="s">
        <v>490</v>
      </c>
      <c r="B62" s="481" t="s">
        <v>788</v>
      </c>
      <c r="C62" s="689">
        <v>0.1</v>
      </c>
      <c r="E62" s="480" t="e">
        <f>F59</f>
        <v>#N/A</v>
      </c>
      <c r="F62" s="477" t="e">
        <f>IF(A62="x",C62*E62,0)</f>
        <v>#N/A</v>
      </c>
      <c r="G62">
        <v>20</v>
      </c>
      <c r="H62" s="572" t="e">
        <f t="shared" ref="H62:H63" si="9">PMT($C$14,G62,-F62)</f>
        <v>#N/A</v>
      </c>
      <c r="L62" s="573" t="s">
        <v>968</v>
      </c>
      <c r="M62" s="573">
        <v>10</v>
      </c>
      <c r="N62" s="576">
        <f t="shared" si="8"/>
        <v>105</v>
      </c>
      <c r="O62" s="573">
        <v>200</v>
      </c>
      <c r="P62" s="573" t="s">
        <v>960</v>
      </c>
    </row>
    <row r="63" spans="1:16" x14ac:dyDescent="0.35">
      <c r="A63" t="s">
        <v>490</v>
      </c>
      <c r="B63" s="481" t="s">
        <v>795</v>
      </c>
      <c r="C63" s="689">
        <v>0.1</v>
      </c>
      <c r="E63" s="480" t="e">
        <f>F59</f>
        <v>#N/A</v>
      </c>
      <c r="F63" s="477" t="e">
        <f>IF(A63="x",C63*E63,0)</f>
        <v>#N/A</v>
      </c>
      <c r="G63">
        <v>20</v>
      </c>
      <c r="H63" s="572" t="e">
        <f t="shared" si="9"/>
        <v>#N/A</v>
      </c>
      <c r="L63" t="s">
        <v>969</v>
      </c>
      <c r="M63" s="572">
        <f>50000*(1+R54)</f>
        <v>50000</v>
      </c>
      <c r="N63" s="506"/>
      <c r="O63" s="572">
        <f>180000*(1+R54)</f>
        <v>180000</v>
      </c>
      <c r="P63" t="s">
        <v>970</v>
      </c>
    </row>
    <row r="64" spans="1:16" ht="15" thickBot="1" x14ac:dyDescent="0.4">
      <c r="E64" s="421" t="s">
        <v>711</v>
      </c>
      <c r="F64" s="444" t="e">
        <f>SUM(F61:F63)</f>
        <v>#N/A</v>
      </c>
      <c r="G64" s="421" t="s">
        <v>711</v>
      </c>
      <c r="H64" s="444" t="e">
        <f>SUM(H61:H63)</f>
        <v>#N/A</v>
      </c>
      <c r="I64" s="417" t="e">
        <f>SUM(I36:I63)</f>
        <v>#N/A</v>
      </c>
      <c r="L64" t="s">
        <v>976</v>
      </c>
      <c r="M64" s="572"/>
      <c r="N64" s="506" t="e">
        <f>C89</f>
        <v>#N/A</v>
      </c>
      <c r="O64" s="572"/>
      <c r="P64" t="s">
        <v>982</v>
      </c>
    </row>
    <row r="65" spans="1:16" ht="15.5" thickTop="1" thickBot="1" x14ac:dyDescent="0.4">
      <c r="B65" s="558"/>
      <c r="C65" s="558"/>
      <c r="D65" s="558"/>
      <c r="E65" s="421"/>
      <c r="F65" s="421"/>
      <c r="G65" s="421"/>
      <c r="H65" s="421"/>
      <c r="L65" s="574" t="s">
        <v>973</v>
      </c>
      <c r="M65" s="574"/>
      <c r="N65" s="711" t="e">
        <f>N64/N62</f>
        <v>#N/A</v>
      </c>
      <c r="O65" s="574"/>
      <c r="P65" s="574" t="s">
        <v>977</v>
      </c>
    </row>
    <row r="66" spans="1:16" ht="15.5" thickTop="1" thickBot="1" x14ac:dyDescent="0.4">
      <c r="C66" s="558"/>
      <c r="D66" s="558"/>
      <c r="E66" s="421" t="s">
        <v>796</v>
      </c>
      <c r="F66" s="485" t="e">
        <f>F31+F59+F64</f>
        <v>#N/A</v>
      </c>
      <c r="G66" s="485"/>
      <c r="H66" s="485" t="e">
        <f>H31+H59+H64</f>
        <v>#N/A</v>
      </c>
    </row>
    <row r="67" spans="1:16" ht="15.5" thickTop="1" thickBot="1" x14ac:dyDescent="0.4">
      <c r="C67" s="558"/>
      <c r="D67" s="558"/>
      <c r="E67" s="421" t="s">
        <v>797</v>
      </c>
      <c r="F67" s="690" t="e">
        <f>F66/C10</f>
        <v>#N/A</v>
      </c>
      <c r="G67" s="485"/>
      <c r="H67" s="486" t="e">
        <f>H66/C15</f>
        <v>#N/A</v>
      </c>
    </row>
    <row r="68" spans="1:16" ht="20.5" thickTop="1" thickBot="1" x14ac:dyDescent="0.5">
      <c r="B68" s="426" t="s">
        <v>926</v>
      </c>
      <c r="C68" s="426"/>
      <c r="D68" s="426"/>
      <c r="E68" s="426"/>
      <c r="F68" s="426"/>
    </row>
    <row r="69" spans="1:16" ht="18" thickTop="1" thickBot="1" x14ac:dyDescent="0.45">
      <c r="B69" s="391" t="s">
        <v>799</v>
      </c>
      <c r="C69" s="490" t="s">
        <v>800</v>
      </c>
      <c r="D69" s="490" t="s">
        <v>801</v>
      </c>
      <c r="E69" s="490" t="s">
        <v>802</v>
      </c>
      <c r="F69" s="490" t="s">
        <v>652</v>
      </c>
      <c r="G69" s="610" t="s">
        <v>983</v>
      </c>
      <c r="H69" s="610" t="s">
        <v>984</v>
      </c>
    </row>
    <row r="70" spans="1:16" ht="15" thickTop="1" x14ac:dyDescent="0.35">
      <c r="B70" t="s">
        <v>803</v>
      </c>
      <c r="C70" s="564" t="e">
        <f>IF(K7&lt;20000,0.25,IF(K7&lt;40000, 0.5,1))</f>
        <v>#N/A</v>
      </c>
      <c r="D70" t="s">
        <v>927</v>
      </c>
      <c r="E70" s="570">
        <f>30*1.5</f>
        <v>45</v>
      </c>
      <c r="F70" s="434">
        <f t="shared" ref="F70:F75" si="10">IF(A70="x",C70*E70*2080,0)</f>
        <v>0</v>
      </c>
      <c r="G70" s="410" t="e">
        <f>C70</f>
        <v>#N/A</v>
      </c>
      <c r="H70" s="437" t="e">
        <f>G70*2080</f>
        <v>#N/A</v>
      </c>
    </row>
    <row r="71" spans="1:16" x14ac:dyDescent="0.35">
      <c r="B71" t="s">
        <v>805</v>
      </c>
      <c r="C71" s="474">
        <v>3</v>
      </c>
      <c r="D71" t="s">
        <v>927</v>
      </c>
      <c r="E71" s="570">
        <f>EquipOperatorWages/2080</f>
        <v>23.477999999999994</v>
      </c>
      <c r="F71" s="434">
        <f t="shared" si="10"/>
        <v>0</v>
      </c>
      <c r="G71" s="410" t="e">
        <f>(C75-(G70+G72+G74))/2</f>
        <v>#N/A</v>
      </c>
      <c r="H71" s="437" t="e">
        <f t="shared" ref="H71:H74" si="11">G71*2080</f>
        <v>#N/A</v>
      </c>
    </row>
    <row r="72" spans="1:16" x14ac:dyDescent="0.35">
      <c r="B72" t="s">
        <v>806</v>
      </c>
      <c r="C72" s="564" t="e">
        <f>IF(K7&lt;20000,0.5, 1)</f>
        <v>#N/A</v>
      </c>
      <c r="D72" t="s">
        <v>927</v>
      </c>
      <c r="E72" s="570">
        <f>'Transfer &amp; MRF Assumptions'!E10/2080</f>
        <v>30.315999999999999</v>
      </c>
      <c r="F72" s="434">
        <f t="shared" si="10"/>
        <v>0</v>
      </c>
      <c r="G72" s="410" t="e">
        <f>C72</f>
        <v>#N/A</v>
      </c>
      <c r="H72" s="437" t="e">
        <f t="shared" si="11"/>
        <v>#N/A</v>
      </c>
    </row>
    <row r="73" spans="1:16" x14ac:dyDescent="0.35">
      <c r="B73" t="s">
        <v>807</v>
      </c>
      <c r="C73" s="474">
        <v>2</v>
      </c>
      <c r="D73" t="s">
        <v>927</v>
      </c>
      <c r="E73" s="570">
        <f>'Transfer &amp; MRF Assumptions'!E4/2080</f>
        <v>19.63</v>
      </c>
      <c r="F73" s="434">
        <f t="shared" si="10"/>
        <v>0</v>
      </c>
      <c r="G73" t="e">
        <f>(C75-(G70+G72+G74))/2</f>
        <v>#N/A</v>
      </c>
      <c r="H73" s="437" t="e">
        <f t="shared" si="11"/>
        <v>#N/A</v>
      </c>
    </row>
    <row r="74" spans="1:16" x14ac:dyDescent="0.35">
      <c r="B74" t="s">
        <v>808</v>
      </c>
      <c r="C74" s="474">
        <v>1</v>
      </c>
      <c r="D74" t="s">
        <v>927</v>
      </c>
      <c r="E74" s="570">
        <f>ScaleClericalWages/2080</f>
        <v>22.425000000000001</v>
      </c>
      <c r="F74" s="434">
        <f t="shared" si="10"/>
        <v>0</v>
      </c>
      <c r="G74" s="410">
        <f>C74</f>
        <v>1</v>
      </c>
      <c r="H74" s="437">
        <f t="shared" si="11"/>
        <v>2080</v>
      </c>
    </row>
    <row r="75" spans="1:16" x14ac:dyDescent="0.35">
      <c r="A75" t="s">
        <v>490</v>
      </c>
      <c r="B75" t="s">
        <v>809</v>
      </c>
      <c r="C75" s="564" t="e">
        <f>ROUNDUP((I7/10000)*4.1,0)</f>
        <v>#N/A</v>
      </c>
      <c r="E75" s="570" t="e">
        <f>SUMPRODUCT(E70:E74,G70:G74)/C75</f>
        <v>#N/A</v>
      </c>
      <c r="F75" s="434" t="e">
        <f t="shared" si="10"/>
        <v>#N/A</v>
      </c>
    </row>
    <row r="76" spans="1:16" ht="15" thickBot="1" x14ac:dyDescent="0.4">
      <c r="C76" s="382"/>
      <c r="E76" s="421" t="s">
        <v>810</v>
      </c>
      <c r="F76" s="444" t="e">
        <f>SUM(F70:F75)</f>
        <v>#N/A</v>
      </c>
      <c r="G76" s="394" t="e">
        <f>F76/C10</f>
        <v>#N/A</v>
      </c>
    </row>
    <row r="77" spans="1:16" ht="18" thickTop="1" thickBot="1" x14ac:dyDescent="0.45">
      <c r="B77" s="391" t="s">
        <v>811</v>
      </c>
      <c r="C77" s="445"/>
      <c r="D77" s="391"/>
      <c r="E77" s="503"/>
      <c r="F77" s="503"/>
    </row>
    <row r="78" spans="1:16" ht="15" thickTop="1" x14ac:dyDescent="0.35">
      <c r="A78" t="s">
        <v>490</v>
      </c>
      <c r="B78" t="s">
        <v>812</v>
      </c>
      <c r="C78" s="712">
        <v>0.1</v>
      </c>
      <c r="D78" t="s">
        <v>684</v>
      </c>
      <c r="E78" s="443" t="e">
        <f>H31</f>
        <v>#N/A</v>
      </c>
      <c r="F78" s="443" t="e">
        <f>IF(A78="x",C78*E78,0)</f>
        <v>#N/A</v>
      </c>
    </row>
    <row r="79" spans="1:16" x14ac:dyDescent="0.35">
      <c r="A79" t="s">
        <v>490</v>
      </c>
      <c r="B79" t="s">
        <v>816</v>
      </c>
      <c r="C79" s="712">
        <v>0.1</v>
      </c>
      <c r="D79" t="s">
        <v>684</v>
      </c>
      <c r="E79" s="443" t="e">
        <f>H59</f>
        <v>#N/A</v>
      </c>
      <c r="F79" s="443" t="e">
        <f>IF(A79="x",C79*E79,0)</f>
        <v>#N/A</v>
      </c>
    </row>
    <row r="80" spans="1:16" x14ac:dyDescent="0.35">
      <c r="A80" t="s">
        <v>490</v>
      </c>
      <c r="B80" t="s">
        <v>819</v>
      </c>
      <c r="C80" s="382">
        <f>C42+C48</f>
        <v>5600</v>
      </c>
      <c r="D80" t="s">
        <v>647</v>
      </c>
      <c r="E80" s="417">
        <v>2.5</v>
      </c>
      <c r="F80" s="434">
        <f>IF(A80="x",C80*E80,0)</f>
        <v>14000</v>
      </c>
    </row>
    <row r="81" spans="1:10" x14ac:dyDescent="0.35">
      <c r="A81" t="s">
        <v>490</v>
      </c>
      <c r="B81" t="s">
        <v>822</v>
      </c>
      <c r="C81" s="382">
        <v>1</v>
      </c>
      <c r="D81" t="s">
        <v>710</v>
      </c>
      <c r="E81" s="434">
        <v>25000</v>
      </c>
      <c r="F81" s="434">
        <f>IF(A81="x",C81*E81,0)</f>
        <v>25000</v>
      </c>
      <c r="G81" s="434">
        <f>C82*E82</f>
        <v>8400</v>
      </c>
    </row>
    <row r="82" spans="1:10" x14ac:dyDescent="0.35">
      <c r="A82" t="s">
        <v>490</v>
      </c>
      <c r="B82" t="s">
        <v>825</v>
      </c>
      <c r="C82" s="382">
        <f>C80</f>
        <v>5600</v>
      </c>
      <c r="D82" t="s">
        <v>647</v>
      </c>
      <c r="E82" s="417">
        <v>1.5</v>
      </c>
      <c r="F82" s="434">
        <f>IF(A82="x",C82*E82,0)</f>
        <v>8400</v>
      </c>
      <c r="G82" s="394" t="e">
        <f>F83/C10</f>
        <v>#N/A</v>
      </c>
    </row>
    <row r="83" spans="1:10" ht="15" thickBot="1" x14ac:dyDescent="0.4">
      <c r="C83" s="382"/>
      <c r="E83" s="421" t="s">
        <v>810</v>
      </c>
      <c r="F83" s="444" t="e">
        <f>SUM(F78:F82)</f>
        <v>#N/A</v>
      </c>
      <c r="G83" s="394"/>
    </row>
    <row r="84" spans="1:10" ht="18" thickTop="1" thickBot="1" x14ac:dyDescent="0.45">
      <c r="B84" s="391" t="s">
        <v>829</v>
      </c>
      <c r="C84" s="445"/>
      <c r="D84" s="391"/>
      <c r="E84" s="503"/>
      <c r="F84" s="503"/>
    </row>
    <row r="85" spans="1:10" ht="15" thickTop="1" x14ac:dyDescent="0.35">
      <c r="A85" t="s">
        <v>490</v>
      </c>
      <c r="B85" t="s">
        <v>914</v>
      </c>
      <c r="C85" s="568" t="e">
        <f>M61</f>
        <v>#N/A</v>
      </c>
      <c r="D85" t="s">
        <v>837</v>
      </c>
      <c r="E85" s="456">
        <v>45</v>
      </c>
      <c r="F85" s="434" t="e">
        <f t="shared" ref="F85:F90" si="12">IF(A85="x",C85*E85,0)</f>
        <v>#N/A</v>
      </c>
    </row>
    <row r="86" spans="1:10" x14ac:dyDescent="0.35">
      <c r="A86" t="s">
        <v>490</v>
      </c>
      <c r="B86" t="s">
        <v>836</v>
      </c>
      <c r="C86" s="382" t="e">
        <f>(M44+M61)*1.5</f>
        <v>#N/A</v>
      </c>
      <c r="D86" t="s">
        <v>837</v>
      </c>
      <c r="E86" s="570">
        <f>AVERAGE(M43:O43)*'Transfer &amp; MRF Assumptions'!B57</f>
        <v>5.4</v>
      </c>
      <c r="F86" s="434" t="e">
        <f t="shared" si="12"/>
        <v>#N/A</v>
      </c>
    </row>
    <row r="87" spans="1:10" x14ac:dyDescent="0.35">
      <c r="A87" t="s">
        <v>490</v>
      </c>
      <c r="B87" t="s">
        <v>1034</v>
      </c>
      <c r="C87" s="568" t="e">
        <f>M61*1.5</f>
        <v>#N/A</v>
      </c>
      <c r="D87" t="s">
        <v>837</v>
      </c>
      <c r="E87" s="570">
        <f>E86</f>
        <v>5.4</v>
      </c>
      <c r="F87" s="434" t="e">
        <f t="shared" si="12"/>
        <v>#N/A</v>
      </c>
    </row>
    <row r="88" spans="1:10" x14ac:dyDescent="0.35">
      <c r="A88" t="s">
        <v>490</v>
      </c>
      <c r="B88" t="s">
        <v>840</v>
      </c>
      <c r="C88" s="438" t="e">
        <f>K5*0.5</f>
        <v>#N/A</v>
      </c>
      <c r="D88" t="s">
        <v>841</v>
      </c>
      <c r="E88" s="417">
        <v>4</v>
      </c>
      <c r="F88" s="434" t="e">
        <f t="shared" si="12"/>
        <v>#N/A</v>
      </c>
      <c r="I88" t="s">
        <v>928</v>
      </c>
      <c r="J88" t="s">
        <v>929</v>
      </c>
    </row>
    <row r="89" spans="1:10" x14ac:dyDescent="0.35">
      <c r="A89" t="s">
        <v>490</v>
      </c>
      <c r="B89" t="s">
        <v>848</v>
      </c>
      <c r="C89" s="382" t="e">
        <f>((C10*2000)/1000)*0.4</f>
        <v>#N/A</v>
      </c>
      <c r="D89" t="s">
        <v>849</v>
      </c>
      <c r="E89" s="417">
        <v>3.75</v>
      </c>
      <c r="F89" s="434" t="e">
        <f t="shared" si="12"/>
        <v>#N/A</v>
      </c>
      <c r="I89" t="s">
        <v>930</v>
      </c>
      <c r="J89" s="437" t="e">
        <f>C88/50</f>
        <v>#N/A</v>
      </c>
    </row>
    <row r="90" spans="1:10" x14ac:dyDescent="0.35">
      <c r="B90" t="s">
        <v>852</v>
      </c>
      <c r="C90" s="382">
        <v>2000</v>
      </c>
      <c r="D90" t="s">
        <v>853</v>
      </c>
      <c r="E90" s="417">
        <v>3</v>
      </c>
      <c r="F90" s="434">
        <f t="shared" si="12"/>
        <v>0</v>
      </c>
      <c r="J90" t="e">
        <f>F88/J89</f>
        <v>#N/A</v>
      </c>
    </row>
    <row r="91" spans="1:10" ht="15" thickBot="1" x14ac:dyDescent="0.4">
      <c r="B91" s="425"/>
      <c r="E91" s="421" t="s">
        <v>711</v>
      </c>
      <c r="F91" s="444" t="e">
        <f>SUM(F85:F90)</f>
        <v>#N/A</v>
      </c>
      <c r="G91" s="394" t="e">
        <f>F91/C10</f>
        <v>#N/A</v>
      </c>
      <c r="H91" s="480" t="e">
        <f>F91+F83+F76</f>
        <v>#N/A</v>
      </c>
    </row>
    <row r="92" spans="1:10" ht="15" thickTop="1" x14ac:dyDescent="0.35">
      <c r="B92" s="425"/>
      <c r="E92" s="394"/>
      <c r="F92" s="394"/>
      <c r="G92" s="394"/>
    </row>
    <row r="93" spans="1:10" x14ac:dyDescent="0.35">
      <c r="B93" t="s">
        <v>1005</v>
      </c>
      <c r="C93" s="437" t="e">
        <f>C10*0.15</f>
        <v>#N/A</v>
      </c>
      <c r="D93" s="559" t="s">
        <v>845</v>
      </c>
      <c r="E93" s="566" t="e">
        <f>VLOOKUP(Input!C6,DropDowns_LookUps!A27:B33,2)</f>
        <v>#N/A</v>
      </c>
      <c r="F93" s="434" t="e">
        <f>C93*E93</f>
        <v>#N/A</v>
      </c>
      <c r="G93" s="394" t="e">
        <f>F93/C10</f>
        <v>#N/A</v>
      </c>
    </row>
    <row r="94" spans="1:10" x14ac:dyDescent="0.35">
      <c r="B94" s="425"/>
      <c r="E94" s="394"/>
      <c r="F94" s="394"/>
      <c r="G94" s="394"/>
    </row>
    <row r="95" spans="1:10" ht="15" thickBot="1" x14ac:dyDescent="0.4">
      <c r="E95" s="421" t="s">
        <v>1072</v>
      </c>
      <c r="F95" s="421" t="e">
        <f>F76+F83+F91+F93+H66</f>
        <v>#N/A</v>
      </c>
      <c r="G95" s="382" t="e">
        <f>F76+F83+F91+F93</f>
        <v>#N/A</v>
      </c>
      <c r="H95" t="e">
        <f>G95/C106</f>
        <v>#N/A</v>
      </c>
    </row>
    <row r="96" spans="1:10" ht="15.5" thickTop="1" thickBot="1" x14ac:dyDescent="0.4">
      <c r="E96" s="421" t="s">
        <v>857</v>
      </c>
      <c r="F96" s="400" t="e">
        <f>F95/C10</f>
        <v>#N/A</v>
      </c>
      <c r="G96" s="394" t="e">
        <f>G93+G91+G82+G76+H67</f>
        <v>#N/A</v>
      </c>
      <c r="H96" s="567" t="s">
        <v>953</v>
      </c>
    </row>
    <row r="97" spans="2:11" ht="15" thickTop="1" x14ac:dyDescent="0.35">
      <c r="E97" s="746" t="s">
        <v>1073</v>
      </c>
      <c r="F97" s="748" t="e">
        <f>F95-(C100+C102)</f>
        <v>#N/A</v>
      </c>
      <c r="G97" s="394"/>
      <c r="H97" s="567"/>
    </row>
    <row r="98" spans="2:11" x14ac:dyDescent="0.35">
      <c r="B98" s="425"/>
    </row>
    <row r="99" spans="2:11" ht="20" thickBot="1" x14ac:dyDescent="0.5">
      <c r="B99" s="426" t="s">
        <v>931</v>
      </c>
      <c r="C99" s="426"/>
      <c r="D99" s="426"/>
      <c r="E99" s="426" t="s">
        <v>932</v>
      </c>
      <c r="F99" s="426" t="s">
        <v>933</v>
      </c>
      <c r="G99" s="426"/>
    </row>
    <row r="100" spans="2:11" ht="15" thickTop="1" x14ac:dyDescent="0.35">
      <c r="B100" t="s">
        <v>859</v>
      </c>
      <c r="C100" s="480" t="e">
        <f>C5*C10</f>
        <v>#N/A</v>
      </c>
      <c r="E100" t="s">
        <v>934</v>
      </c>
      <c r="G100" s="479">
        <v>0.3</v>
      </c>
    </row>
    <row r="101" spans="2:11" x14ac:dyDescent="0.35">
      <c r="B101" t="s">
        <v>860</v>
      </c>
      <c r="C101" s="480">
        <v>0</v>
      </c>
      <c r="E101" t="s">
        <v>935</v>
      </c>
      <c r="G101" s="479">
        <v>0.3</v>
      </c>
    </row>
    <row r="102" spans="2:11" x14ac:dyDescent="0.35">
      <c r="B102" t="s">
        <v>936</v>
      </c>
      <c r="C102" s="560" t="e">
        <f>0.8*C89*C6</f>
        <v>#N/A</v>
      </c>
      <c r="D102" s="561" t="e">
        <f>C102/50000</f>
        <v>#N/A</v>
      </c>
      <c r="E102" t="s">
        <v>937</v>
      </c>
      <c r="G102" s="479">
        <v>0.4</v>
      </c>
      <c r="H102" s="480" t="e">
        <f>C100+C102</f>
        <v>#N/A</v>
      </c>
    </row>
    <row r="103" spans="2:11" ht="15" thickBot="1" x14ac:dyDescent="0.4">
      <c r="B103" s="484" t="s">
        <v>862</v>
      </c>
      <c r="C103" s="400" t="e">
        <f>(C100+C102)/C15</f>
        <v>#N/A</v>
      </c>
      <c r="H103" s="480" t="e">
        <f>H102-F95</f>
        <v>#N/A</v>
      </c>
    </row>
    <row r="104" spans="2:11" ht="15.5" thickTop="1" thickBot="1" x14ac:dyDescent="0.4">
      <c r="H104" t="e">
        <f>H103/I7</f>
        <v>#N/A</v>
      </c>
    </row>
    <row r="105" spans="2:11" ht="17.5" thickBot="1" x14ac:dyDescent="0.4">
      <c r="B105" s="520" t="s">
        <v>884</v>
      </c>
      <c r="C105" s="521" t="s">
        <v>815</v>
      </c>
      <c r="D105" s="417"/>
    </row>
    <row r="106" spans="2:11" ht="18" thickTop="1" thickBot="1" x14ac:dyDescent="0.4">
      <c r="B106" s="532" t="s">
        <v>885</v>
      </c>
      <c r="C106" s="524" t="e">
        <f>C15</f>
        <v>#N/A</v>
      </c>
      <c r="I106" s="382"/>
    </row>
    <row r="107" spans="2:11" ht="17.5" thickBot="1" x14ac:dyDescent="0.4">
      <c r="B107" s="525" t="s">
        <v>865</v>
      </c>
      <c r="C107" s="526" t="e">
        <f>I64</f>
        <v>#N/A</v>
      </c>
      <c r="D107" s="382"/>
      <c r="E107" s="382"/>
      <c r="F107" s="382"/>
      <c r="G107" s="382"/>
      <c r="H107" s="382"/>
      <c r="I107" s="382"/>
    </row>
    <row r="108" spans="2:11" ht="17.5" thickBot="1" x14ac:dyDescent="0.4">
      <c r="B108" s="528" t="s">
        <v>938</v>
      </c>
      <c r="C108" s="529" t="e">
        <f>I36</f>
        <v>#N/A</v>
      </c>
      <c r="D108" s="382"/>
      <c r="E108" s="382"/>
      <c r="F108" s="382"/>
      <c r="G108" s="382"/>
      <c r="H108" s="382"/>
      <c r="I108" s="382"/>
      <c r="J108" s="382"/>
      <c r="K108" s="382"/>
    </row>
    <row r="109" spans="2:11" ht="17.5" thickBot="1" x14ac:dyDescent="0.4">
      <c r="B109" s="525" t="s">
        <v>867</v>
      </c>
      <c r="C109" s="526">
        <f>SUM(C24:C30)</f>
        <v>7</v>
      </c>
      <c r="D109" s="382"/>
      <c r="E109" s="382"/>
      <c r="F109" s="382"/>
      <c r="G109" s="382"/>
      <c r="H109" s="382"/>
      <c r="I109" s="382"/>
      <c r="J109" s="382"/>
      <c r="K109" s="382"/>
    </row>
    <row r="110" spans="2:11" ht="17.5" thickBot="1" x14ac:dyDescent="0.4">
      <c r="B110" s="528" t="s">
        <v>868</v>
      </c>
      <c r="C110" s="529" t="e">
        <f>SUM(C70:C74)</f>
        <v>#N/A</v>
      </c>
      <c r="D110" s="382"/>
      <c r="E110" s="382"/>
      <c r="F110" s="382"/>
      <c r="G110" s="382"/>
      <c r="H110" s="382"/>
      <c r="I110" s="382"/>
      <c r="J110" s="382"/>
      <c r="K110" s="382"/>
    </row>
    <row r="111" spans="2:11" ht="17.5" thickBot="1" x14ac:dyDescent="0.4">
      <c r="B111" s="525" t="s">
        <v>869</v>
      </c>
      <c r="C111" s="526" t="e">
        <f>C89</f>
        <v>#N/A</v>
      </c>
      <c r="D111" s="382"/>
      <c r="E111" s="382"/>
      <c r="F111" s="382"/>
      <c r="G111" s="382"/>
      <c r="H111" s="382"/>
      <c r="I111" s="382"/>
    </row>
    <row r="112" spans="2:11" ht="15" thickBot="1" x14ac:dyDescent="0.4">
      <c r="B112" s="382"/>
      <c r="C112" s="382"/>
      <c r="D112" s="382"/>
      <c r="E112" s="382"/>
      <c r="F112" s="382"/>
      <c r="G112" s="382"/>
      <c r="H112" s="382"/>
      <c r="I112" s="382"/>
    </row>
    <row r="113" spans="2:11" ht="17.5" thickBot="1" x14ac:dyDescent="0.4">
      <c r="B113" s="520" t="s">
        <v>886</v>
      </c>
      <c r="C113" s="521" t="s">
        <v>815</v>
      </c>
      <c r="D113" s="382"/>
      <c r="E113" s="382"/>
      <c r="F113" s="382"/>
      <c r="G113" s="382"/>
      <c r="H113" s="382"/>
      <c r="I113" s="382"/>
    </row>
    <row r="114" spans="2:11" ht="18" thickTop="1" thickBot="1" x14ac:dyDescent="0.4">
      <c r="B114" s="530" t="s">
        <v>871</v>
      </c>
      <c r="C114" s="531"/>
      <c r="D114" s="382"/>
      <c r="E114" s="382"/>
      <c r="F114" s="382"/>
      <c r="G114" s="382"/>
      <c r="H114" s="382"/>
      <c r="I114" s="382"/>
    </row>
    <row r="115" spans="2:11" ht="18" thickTop="1" thickBot="1" x14ac:dyDescent="0.4">
      <c r="B115" s="532" t="s">
        <v>872</v>
      </c>
      <c r="C115" s="533" t="e">
        <f>F31</f>
        <v>#N/A</v>
      </c>
      <c r="D115" s="382"/>
      <c r="E115" s="417" t="e">
        <f>(C115+C116)/C106</f>
        <v>#N/A</v>
      </c>
      <c r="F115" s="382"/>
      <c r="G115" s="382"/>
      <c r="H115" s="382"/>
      <c r="I115" s="382"/>
      <c r="J115" s="382"/>
      <c r="K115" s="382"/>
    </row>
    <row r="116" spans="2:11" ht="17.5" thickBot="1" x14ac:dyDescent="0.4">
      <c r="B116" s="525" t="s">
        <v>873</v>
      </c>
      <c r="C116" s="534" t="e">
        <f>F64</f>
        <v>#N/A</v>
      </c>
      <c r="D116" s="382"/>
      <c r="E116" s="382"/>
      <c r="F116" s="382"/>
      <c r="G116" s="382"/>
      <c r="H116" s="382"/>
      <c r="I116" s="382"/>
      <c r="J116" s="382"/>
      <c r="K116" s="382"/>
    </row>
    <row r="117" spans="2:11" ht="17.5" thickBot="1" x14ac:dyDescent="0.4">
      <c r="B117" s="535" t="s">
        <v>874</v>
      </c>
      <c r="C117" s="536" t="e">
        <f>H67</f>
        <v>#N/A</v>
      </c>
      <c r="D117" s="382"/>
      <c r="E117" s="382" t="e">
        <f>C115+C116</f>
        <v>#N/A</v>
      </c>
      <c r="F117" s="382"/>
      <c r="G117" s="382"/>
      <c r="H117" s="382"/>
      <c r="I117" s="382"/>
      <c r="J117" s="382"/>
      <c r="K117" s="382"/>
    </row>
    <row r="118" spans="2:11" ht="17.5" thickBot="1" x14ac:dyDescent="0.4">
      <c r="B118" s="525" t="s">
        <v>875</v>
      </c>
      <c r="C118" s="537" t="e">
        <f>F76</f>
        <v>#N/A</v>
      </c>
      <c r="D118" s="382"/>
      <c r="E118" s="382"/>
      <c r="F118" s="382"/>
      <c r="G118" s="382"/>
      <c r="H118" s="382"/>
      <c r="I118" s="382"/>
      <c r="J118" s="382"/>
      <c r="K118" s="382"/>
    </row>
    <row r="119" spans="2:11" ht="17.5" thickBot="1" x14ac:dyDescent="0.4">
      <c r="B119" s="528" t="s">
        <v>876</v>
      </c>
      <c r="C119" s="538" t="e">
        <f>F83</f>
        <v>#N/A</v>
      </c>
      <c r="D119" s="382"/>
      <c r="E119" s="382"/>
      <c r="F119" s="382"/>
      <c r="G119" s="382"/>
      <c r="H119" s="382"/>
      <c r="I119" s="382"/>
      <c r="J119" s="382"/>
      <c r="K119" s="382"/>
    </row>
    <row r="120" spans="2:11" ht="17.5" thickBot="1" x14ac:dyDescent="0.4">
      <c r="B120" s="525" t="s">
        <v>877</v>
      </c>
      <c r="C120" s="534" t="e">
        <f>F91</f>
        <v>#N/A</v>
      </c>
      <c r="D120" s="382"/>
      <c r="E120" s="382" t="e">
        <f>C118+C119+C120</f>
        <v>#N/A</v>
      </c>
      <c r="F120" s="382"/>
      <c r="G120" s="382"/>
      <c r="H120" s="382"/>
      <c r="I120" s="382"/>
      <c r="J120" s="382"/>
      <c r="K120" s="382"/>
    </row>
    <row r="121" spans="2:11" ht="17.5" thickBot="1" x14ac:dyDescent="0.4">
      <c r="B121" s="535" t="s">
        <v>878</v>
      </c>
      <c r="C121" s="536" t="e">
        <f>G76+G82+G91</f>
        <v>#N/A</v>
      </c>
      <c r="D121" s="382"/>
      <c r="E121" s="382"/>
      <c r="F121" s="382"/>
      <c r="G121" s="382"/>
      <c r="H121" s="382"/>
      <c r="I121" s="382"/>
      <c r="J121" s="382"/>
      <c r="K121" s="382"/>
    </row>
    <row r="122" spans="2:11" ht="17.5" thickBot="1" x14ac:dyDescent="0.4">
      <c r="B122" s="540" t="s">
        <v>879</v>
      </c>
      <c r="C122" s="541" t="e">
        <f>G93</f>
        <v>#N/A</v>
      </c>
      <c r="D122" s="382"/>
      <c r="E122" s="382"/>
      <c r="F122" s="382"/>
      <c r="G122" s="382"/>
      <c r="H122" s="382"/>
      <c r="I122" s="382"/>
      <c r="J122" s="382"/>
      <c r="K122" s="382"/>
    </row>
    <row r="123" spans="2:11" ht="17.5" thickBot="1" x14ac:dyDescent="0.4">
      <c r="B123" s="535" t="s">
        <v>880</v>
      </c>
      <c r="C123" s="536">
        <f>C5</f>
        <v>0</v>
      </c>
      <c r="D123" s="382"/>
      <c r="E123" s="382"/>
      <c r="F123" s="382"/>
      <c r="G123" s="382"/>
      <c r="H123" s="382"/>
      <c r="I123" s="382"/>
      <c r="J123" s="382"/>
      <c r="K123" s="382"/>
    </row>
    <row r="124" spans="2:11" ht="17.5" thickBot="1" x14ac:dyDescent="0.4">
      <c r="B124" s="530" t="s">
        <v>881</v>
      </c>
      <c r="C124" s="531"/>
      <c r="D124" s="382"/>
      <c r="E124" s="382"/>
      <c r="F124" s="382"/>
      <c r="G124" s="382"/>
      <c r="H124" s="382"/>
      <c r="I124" s="382"/>
      <c r="J124" s="382"/>
      <c r="K124" s="382"/>
    </row>
    <row r="125" spans="2:11" ht="17.5" thickBot="1" x14ac:dyDescent="0.4">
      <c r="B125" s="535" t="s">
        <v>882</v>
      </c>
      <c r="C125" s="536" t="e">
        <f>C103-C5</f>
        <v>#N/A</v>
      </c>
      <c r="D125" s="382"/>
      <c r="E125" s="382"/>
      <c r="F125" s="382"/>
      <c r="G125" s="382"/>
      <c r="H125" s="382"/>
      <c r="I125" s="382"/>
      <c r="J125" s="382"/>
      <c r="K125" s="382"/>
    </row>
    <row r="126" spans="2:11" ht="34.5" thickBot="1" x14ac:dyDescent="0.4">
      <c r="B126" s="540" t="s">
        <v>939</v>
      </c>
      <c r="C126" s="542" t="e">
        <f>C123+C125-C117-C121-C122</f>
        <v>#N/A</v>
      </c>
      <c r="D126" s="382"/>
      <c r="E126" s="382"/>
      <c r="F126" s="382"/>
      <c r="G126" s="382"/>
      <c r="H126" s="382"/>
    </row>
    <row r="127" spans="2:11" ht="15" thickBot="1" x14ac:dyDescent="0.4"/>
    <row r="128" spans="2:11" ht="17.5" thickBot="1" x14ac:dyDescent="0.4">
      <c r="B128" s="520" t="s">
        <v>884</v>
      </c>
      <c r="C128" s="521" t="s">
        <v>815</v>
      </c>
    </row>
    <row r="129" spans="2:3" ht="18" thickTop="1" thickBot="1" x14ac:dyDescent="0.4">
      <c r="B129" s="525" t="s">
        <v>885</v>
      </c>
      <c r="C129" s="526" t="e">
        <f>C106</f>
        <v>#N/A</v>
      </c>
    </row>
    <row r="130" spans="2:3" ht="17.5" thickBot="1" x14ac:dyDescent="0.4">
      <c r="B130" s="525" t="s">
        <v>865</v>
      </c>
      <c r="C130" s="526" t="e">
        <f>C107</f>
        <v>#N/A</v>
      </c>
    </row>
    <row r="131" spans="2:3" ht="17.5" thickBot="1" x14ac:dyDescent="0.4">
      <c r="B131" s="525" t="s">
        <v>867</v>
      </c>
      <c r="C131" s="526" t="e">
        <f>SUM(C65:C71)</f>
        <v>#N/A</v>
      </c>
    </row>
    <row r="132" spans="2:3" ht="17.5" thickBot="1" x14ac:dyDescent="0.4">
      <c r="B132" s="525" t="s">
        <v>868</v>
      </c>
      <c r="C132" s="526" t="e">
        <f>C110</f>
        <v>#N/A</v>
      </c>
    </row>
    <row r="133" spans="2:3" ht="17.5" thickBot="1" x14ac:dyDescent="0.4">
      <c r="B133" s="525" t="s">
        <v>869</v>
      </c>
      <c r="C133" s="526" t="e">
        <f>C111</f>
        <v>#N/A</v>
      </c>
    </row>
    <row r="134" spans="2:3" ht="17.5" thickBot="1" x14ac:dyDescent="0.4">
      <c r="B134" s="520" t="s">
        <v>886</v>
      </c>
      <c r="C134" s="521" t="s">
        <v>815</v>
      </c>
    </row>
    <row r="135" spans="2:3" ht="18" thickTop="1" thickBot="1" x14ac:dyDescent="0.4">
      <c r="B135" s="530" t="s">
        <v>871</v>
      </c>
      <c r="C135" s="531"/>
    </row>
    <row r="136" spans="2:3" ht="17.5" thickBot="1" x14ac:dyDescent="0.4">
      <c r="B136" s="525" t="s">
        <v>887</v>
      </c>
      <c r="C136" s="543" t="e">
        <f>C115+C116</f>
        <v>#N/A</v>
      </c>
    </row>
    <row r="137" spans="2:3" ht="34.5" thickBot="1" x14ac:dyDescent="0.4">
      <c r="B137" s="525" t="s">
        <v>888</v>
      </c>
      <c r="C137" s="537" t="e">
        <f>C118+C119+C120</f>
        <v>#N/A</v>
      </c>
    </row>
    <row r="138" spans="2:3" ht="17.5" thickBot="1" x14ac:dyDescent="0.4">
      <c r="B138" s="530" t="s">
        <v>881</v>
      </c>
      <c r="C138" s="526"/>
    </row>
    <row r="139" spans="2:3" ht="17.5" thickBot="1" x14ac:dyDescent="0.4">
      <c r="B139" s="540" t="s">
        <v>889</v>
      </c>
      <c r="C139" s="544" t="e">
        <f>C100</f>
        <v>#N/A</v>
      </c>
    </row>
    <row r="140" spans="2:3" ht="17.5" thickBot="1" x14ac:dyDescent="0.4">
      <c r="B140" s="526" t="s">
        <v>890</v>
      </c>
      <c r="C140" s="543" t="e">
        <f>C102</f>
        <v>#N/A</v>
      </c>
    </row>
    <row r="141" spans="2:3" ht="17.5" thickBot="1" x14ac:dyDescent="0.4">
      <c r="B141" s="526" t="s">
        <v>891</v>
      </c>
      <c r="C141" s="543" t="e">
        <f>C139+C140</f>
        <v>#N/A</v>
      </c>
    </row>
    <row r="142" spans="2:3" ht="17.5" thickBot="1" x14ac:dyDescent="0.4">
      <c r="B142" s="540" t="s">
        <v>892</v>
      </c>
      <c r="C142" s="542" t="e">
        <f>C126</f>
        <v>#N/A</v>
      </c>
    </row>
  </sheetData>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03B99-6D93-4BC7-BF7A-BDD9B4B0E676}">
  <dimension ref="A1:L25"/>
  <sheetViews>
    <sheetView workbookViewId="0">
      <selection activeCell="C5" sqref="C5:F5"/>
    </sheetView>
  </sheetViews>
  <sheetFormatPr defaultColWidth="8.81640625" defaultRowHeight="14.5" x14ac:dyDescent="0.35"/>
  <cols>
    <col min="1" max="1" width="15.453125" bestFit="1" customWidth="1"/>
    <col min="4" max="4" width="10.453125" bestFit="1" customWidth="1"/>
    <col min="5" max="5" width="9.453125" bestFit="1" customWidth="1"/>
    <col min="6" max="8" width="10.453125" bestFit="1" customWidth="1"/>
    <col min="9" max="9" width="9.453125" bestFit="1" customWidth="1"/>
    <col min="10" max="10" width="12.1796875" bestFit="1" customWidth="1"/>
  </cols>
  <sheetData>
    <row r="1" spans="1:12" x14ac:dyDescent="0.35">
      <c r="A1" t="s">
        <v>994</v>
      </c>
    </row>
    <row r="3" spans="1:12" x14ac:dyDescent="0.35">
      <c r="A3" s="406" t="s">
        <v>963</v>
      </c>
      <c r="B3" t="s">
        <v>960</v>
      </c>
      <c r="C3">
        <v>10</v>
      </c>
      <c r="D3">
        <v>20</v>
      </c>
      <c r="E3">
        <v>40</v>
      </c>
      <c r="F3">
        <v>80</v>
      </c>
      <c r="G3">
        <v>160</v>
      </c>
      <c r="H3">
        <v>320</v>
      </c>
      <c r="I3">
        <v>400</v>
      </c>
      <c r="J3">
        <v>500</v>
      </c>
    </row>
    <row r="4" spans="1:12" x14ac:dyDescent="0.35">
      <c r="B4" t="s">
        <v>1001</v>
      </c>
      <c r="C4" s="572">
        <f>'ASP Model_YW+FW'!M73</f>
        <v>23724</v>
      </c>
      <c r="D4" s="434">
        <f>$C$4+((($J$4-$C$4)/($J$3-$C$3))*(D3-$C$3))</f>
        <v>40185.551020408166</v>
      </c>
      <c r="E4" s="434">
        <f>$C$4+((($J$4-$C$43)/($J$3-$C$3))*(E3-$C$3))</f>
        <v>74561.14285714287</v>
      </c>
      <c r="F4" s="434">
        <f>$C$4+((($J$4-$C$43)/($J$3-$C$3))*(F3-$C$3))</f>
        <v>142344</v>
      </c>
      <c r="G4" s="434">
        <f>$C$4+((($J$4-$C$43)/($J$3-$C$3))*(G3-$C$3))</f>
        <v>277909.71428571432</v>
      </c>
      <c r="H4" s="434">
        <f>$C$4+((($J$4-$C$43)/($J$3-$C$3))*(H3-$C$3))</f>
        <v>549041.14285714284</v>
      </c>
      <c r="I4" s="434">
        <f>$C$4+((($J$4-$C$43)/($J$3-$C$3))*(I3-$C$3))</f>
        <v>684606.85714285716</v>
      </c>
      <c r="J4" s="434">
        <f>'ASP Model_YW+FW'!O73</f>
        <v>830340</v>
      </c>
    </row>
    <row r="5" spans="1:12" x14ac:dyDescent="0.35">
      <c r="A5" t="s">
        <v>1002</v>
      </c>
      <c r="B5" t="s">
        <v>992</v>
      </c>
      <c r="C5" s="584" t="e">
        <f>'ASP Model_YW'!$M$94/'Compost Equip'!C3</f>
        <v>#N/A</v>
      </c>
      <c r="D5" s="584" t="e">
        <f>'ASP Model_YW'!$M$94/'Compost Equip'!D3</f>
        <v>#N/A</v>
      </c>
      <c r="E5" s="584" t="e">
        <f>'ASP Model_YW'!$M$94/'Compost Equip'!E3</f>
        <v>#N/A</v>
      </c>
      <c r="F5" s="584" t="e">
        <f>'ASP Model_YW'!$M$94/'Compost Equip'!F3</f>
        <v>#N/A</v>
      </c>
      <c r="G5" s="584" t="e">
        <f>'ASP Model_YW'!$M$94/'Compost Equip'!G3</f>
        <v>#N/A</v>
      </c>
      <c r="H5" s="584" t="e">
        <f>'ASP Model_YW'!$M$94/'Compost Equip'!H3</f>
        <v>#N/A</v>
      </c>
      <c r="I5" s="584" t="e">
        <f>'ASP Model_YW'!$M$94/'Compost Equip'!I3</f>
        <v>#N/A</v>
      </c>
      <c r="J5" s="584" t="e">
        <f>'ASP Model_YW'!$M$94/'Compost Equip'!J3</f>
        <v>#N/A</v>
      </c>
    </row>
    <row r="6" spans="1:12" x14ac:dyDescent="0.35">
      <c r="A6" t="s">
        <v>1003</v>
      </c>
      <c r="B6" t="s">
        <v>992</v>
      </c>
      <c r="C6" s="584" t="e">
        <f>'ASP Model_YW+FW'!$M$94/'Compost Equip'!C3</f>
        <v>#N/A</v>
      </c>
      <c r="D6" s="584" t="e">
        <f>'ASP Model_YW+FW'!$M$94/'Compost Equip'!D3</f>
        <v>#N/A</v>
      </c>
      <c r="E6" s="584" t="e">
        <f>'ASP Model_YW+FW'!$M$94/'Compost Equip'!E3</f>
        <v>#N/A</v>
      </c>
      <c r="F6" s="584" t="e">
        <f>'ASP Model_YW+FW'!$M$94/'Compost Equip'!F3</f>
        <v>#N/A</v>
      </c>
      <c r="G6" s="584" t="e">
        <f>'ASP Model_YW+FW'!$M$94/'Compost Equip'!G3</f>
        <v>#N/A</v>
      </c>
      <c r="H6" s="584" t="e">
        <f>'ASP Model_YW+FW'!$M$94/'Compost Equip'!H3</f>
        <v>#N/A</v>
      </c>
      <c r="I6" s="584" t="e">
        <f>'ASP Model_YW+FW'!$M$94/'Compost Equip'!I3</f>
        <v>#N/A</v>
      </c>
      <c r="J6" s="584" t="e">
        <f>'ASP Model_YW+FW'!$M$94/'Compost Equip'!J3</f>
        <v>#N/A</v>
      </c>
    </row>
    <row r="7" spans="1:12" x14ac:dyDescent="0.35">
      <c r="A7" s="695" t="s">
        <v>1009</v>
      </c>
      <c r="B7" s="695" t="s">
        <v>992</v>
      </c>
      <c r="C7" s="696"/>
      <c r="D7" s="696"/>
      <c r="E7" s="696"/>
      <c r="F7" s="696"/>
      <c r="G7" s="696"/>
      <c r="H7" s="696"/>
      <c r="I7" s="696"/>
      <c r="J7" s="696"/>
    </row>
    <row r="8" spans="1:12" x14ac:dyDescent="0.35">
      <c r="A8" s="695" t="s">
        <v>1010</v>
      </c>
      <c r="B8" s="695" t="s">
        <v>992</v>
      </c>
      <c r="C8" s="696" t="e">
        <f>'Windrow Model_YW+FW'!$M$37/'Compost Equip'!C3</f>
        <v>#N/A</v>
      </c>
      <c r="D8" s="696" t="e">
        <f>'Windrow Model_YW+FW'!$M$37/'Compost Equip'!D3</f>
        <v>#N/A</v>
      </c>
      <c r="E8" s="696" t="e">
        <f>'Windrow Model_YW+FW'!$M$37/'Compost Equip'!E3</f>
        <v>#N/A</v>
      </c>
      <c r="F8" s="696" t="e">
        <f>'Windrow Model_YW+FW'!$M$37/'Compost Equip'!F3</f>
        <v>#N/A</v>
      </c>
      <c r="G8" s="696" t="e">
        <f>'Windrow Model_YW+FW'!$M$37/'Compost Equip'!G3</f>
        <v>#N/A</v>
      </c>
      <c r="H8" s="696" t="e">
        <f>'Windrow Model_YW+FW'!$M$37/'Compost Equip'!H3</f>
        <v>#N/A</v>
      </c>
      <c r="I8" s="696" t="e">
        <f>'Windrow Model_YW+FW'!$M$37/'Compost Equip'!I3</f>
        <v>#N/A</v>
      </c>
      <c r="J8" s="696" t="e">
        <f>'Windrow Model_YW+FW'!$M$37/'Compost Equip'!J3</f>
        <v>#N/A</v>
      </c>
    </row>
    <row r="9" spans="1:12" s="697" customFormat="1" x14ac:dyDescent="0.35"/>
    <row r="10" spans="1:12" x14ac:dyDescent="0.35">
      <c r="A10" s="406" t="s">
        <v>700</v>
      </c>
      <c r="B10" t="s">
        <v>960</v>
      </c>
      <c r="C10">
        <v>10</v>
      </c>
      <c r="D10">
        <v>20</v>
      </c>
      <c r="E10">
        <v>40</v>
      </c>
      <c r="F10">
        <v>80</v>
      </c>
      <c r="G10">
        <v>160</v>
      </c>
      <c r="H10">
        <v>320</v>
      </c>
      <c r="I10">
        <v>640</v>
      </c>
      <c r="J10">
        <v>1000</v>
      </c>
      <c r="K10">
        <v>1500</v>
      </c>
      <c r="L10">
        <v>2000</v>
      </c>
    </row>
    <row r="11" spans="1:12" x14ac:dyDescent="0.35">
      <c r="B11" t="s">
        <v>1001</v>
      </c>
      <c r="C11" s="572">
        <f>'ASP Model_YW+FW'!M82</f>
        <v>23724</v>
      </c>
      <c r="D11" s="572">
        <f>$C$11+((($L$11-$C$11)/($L$10-$C$10))*(D10-$C$10))</f>
        <v>23902.824120603014</v>
      </c>
      <c r="E11" s="572">
        <f t="shared" ref="E11:K11" si="0">$C$11+((($L$11-$C$11)/($L$10-$C$10))*(E10-$C$10))</f>
        <v>24260.472361809047</v>
      </c>
      <c r="F11" s="572">
        <f t="shared" si="0"/>
        <v>24975.768844221104</v>
      </c>
      <c r="G11" s="572">
        <f t="shared" si="0"/>
        <v>26406.361809045226</v>
      </c>
      <c r="H11" s="572">
        <f t="shared" si="0"/>
        <v>29267.547738693465</v>
      </c>
      <c r="I11" s="572">
        <f t="shared" si="0"/>
        <v>34989.919597989952</v>
      </c>
      <c r="J11" s="572">
        <f t="shared" si="0"/>
        <v>41427.587939698489</v>
      </c>
      <c r="K11" s="572">
        <f t="shared" si="0"/>
        <v>50368.793969849241</v>
      </c>
      <c r="L11" s="572">
        <f>'ASP Model_YW+FW'!O82</f>
        <v>59309.999999999993</v>
      </c>
    </row>
    <row r="12" spans="1:12" x14ac:dyDescent="0.35">
      <c r="A12" t="s">
        <v>1002</v>
      </c>
      <c r="B12" t="s">
        <v>992</v>
      </c>
      <c r="C12" s="584" t="e">
        <f>'ASP Model_YW'!$M$95/'Compost Equip'!C10</f>
        <v>#N/A</v>
      </c>
      <c r="D12" s="584" t="e">
        <f>'ASP Model_YW'!$M$95/'Compost Equip'!D10</f>
        <v>#N/A</v>
      </c>
      <c r="E12" s="584" t="e">
        <f>'ASP Model_YW'!$M$95/'Compost Equip'!E10</f>
        <v>#N/A</v>
      </c>
      <c r="F12" s="584" t="e">
        <f>'ASP Model_YW'!$M$95/'Compost Equip'!F10</f>
        <v>#N/A</v>
      </c>
      <c r="G12" s="584" t="e">
        <f>'ASP Model_YW'!$M$95/'Compost Equip'!G10</f>
        <v>#N/A</v>
      </c>
      <c r="H12" s="584" t="e">
        <f>'ASP Model_YW'!$M$95/'Compost Equip'!H10</f>
        <v>#N/A</v>
      </c>
      <c r="I12" s="584" t="e">
        <f>'ASP Model_YW'!$M$95/'Compost Equip'!I10</f>
        <v>#N/A</v>
      </c>
      <c r="J12" s="584" t="e">
        <f>'ASP Model_YW'!$M$95/'Compost Equip'!J10</f>
        <v>#N/A</v>
      </c>
      <c r="K12" s="584" t="e">
        <f>'ASP Model_YW'!$M$95/'Compost Equip'!K10</f>
        <v>#N/A</v>
      </c>
      <c r="L12" s="584" t="e">
        <f>'ASP Model_YW'!$M$95/'Compost Equip'!L10</f>
        <v>#N/A</v>
      </c>
    </row>
    <row r="13" spans="1:12" x14ac:dyDescent="0.35">
      <c r="A13" t="s">
        <v>1003</v>
      </c>
      <c r="B13" t="s">
        <v>992</v>
      </c>
      <c r="C13" s="584" t="e">
        <f>'ASP Model_YW+FW'!$M$95/'Compost Equip'!C10</f>
        <v>#N/A</v>
      </c>
      <c r="D13" s="584" t="e">
        <f>'ASP Model_YW+FW'!$M$95/'Compost Equip'!D10</f>
        <v>#N/A</v>
      </c>
      <c r="E13" s="584" t="e">
        <f>'ASP Model_YW+FW'!$M$95/'Compost Equip'!E10</f>
        <v>#N/A</v>
      </c>
      <c r="F13" s="584" t="e">
        <f>'ASP Model_YW+FW'!$M$95/'Compost Equip'!F10</f>
        <v>#N/A</v>
      </c>
      <c r="G13" s="584" t="e">
        <f>'ASP Model_YW+FW'!$M$95/'Compost Equip'!G10</f>
        <v>#N/A</v>
      </c>
      <c r="H13" s="584" t="e">
        <f>'ASP Model_YW+FW'!$M$95/'Compost Equip'!H10</f>
        <v>#N/A</v>
      </c>
      <c r="I13" s="584" t="e">
        <f>'ASP Model_YW+FW'!$M$95/'Compost Equip'!I10</f>
        <v>#N/A</v>
      </c>
      <c r="J13" s="584" t="e">
        <f>'ASP Model_YW+FW'!$M$95/'Compost Equip'!J10</f>
        <v>#N/A</v>
      </c>
      <c r="K13" s="584" t="e">
        <f>'ASP Model_YW+FW'!$M$95/'Compost Equip'!K10</f>
        <v>#N/A</v>
      </c>
      <c r="L13" s="584" t="e">
        <f>'ASP Model_YW+FW'!$M$95/'Compost Equip'!L10</f>
        <v>#N/A</v>
      </c>
    </row>
    <row r="14" spans="1:12" s="697" customFormat="1" x14ac:dyDescent="0.35">
      <c r="G14" s="698"/>
      <c r="H14" s="698"/>
    </row>
    <row r="15" spans="1:12" x14ac:dyDescent="0.35">
      <c r="A15" s="406" t="s">
        <v>848</v>
      </c>
      <c r="B15" t="s">
        <v>960</v>
      </c>
      <c r="C15">
        <v>10</v>
      </c>
      <c r="D15">
        <v>20</v>
      </c>
      <c r="E15">
        <v>40</v>
      </c>
      <c r="F15">
        <v>80</v>
      </c>
      <c r="G15">
        <v>120</v>
      </c>
      <c r="H15">
        <v>160</v>
      </c>
      <c r="I15">
        <v>200</v>
      </c>
    </row>
    <row r="16" spans="1:12" x14ac:dyDescent="0.35">
      <c r="B16" t="s">
        <v>1001</v>
      </c>
      <c r="C16" s="572">
        <f>'ASP Model_YW+FW'!M86</f>
        <v>59309.999999999993</v>
      </c>
      <c r="D16" s="572">
        <f>$C$16+((($I$16-$C$43)/($I$15-$C$15))*(D15-$C$15))</f>
        <v>70547.684210526306</v>
      </c>
      <c r="E16" s="572">
        <f t="shared" ref="E16:G16" si="1">$C$16+((($I$16-$C$43)/($I$15-$C$15))*(E15-$C$15))</f>
        <v>93023.052631578932</v>
      </c>
      <c r="F16" s="572">
        <f t="shared" si="1"/>
        <v>137973.78947368421</v>
      </c>
      <c r="G16" s="572">
        <f t="shared" si="1"/>
        <v>182924.52631578947</v>
      </c>
      <c r="H16" s="572">
        <f>$C$16+((($I$16-$C$16)/($I$15-$C$15))*(H15-$C$15))</f>
        <v>181051.5789473684</v>
      </c>
      <c r="I16" s="572">
        <f>'ASP Model_YW+FW'!O86</f>
        <v>213516</v>
      </c>
    </row>
    <row r="17" spans="1:10" x14ac:dyDescent="0.35">
      <c r="A17" t="s">
        <v>1002</v>
      </c>
      <c r="B17" t="s">
        <v>1036</v>
      </c>
      <c r="C17" s="584" t="e">
        <f>'ASP Model_YW'!$M$97/'Compost Equip'!C15</f>
        <v>#N/A</v>
      </c>
      <c r="D17" s="584" t="e">
        <f>'ASP Model_YW'!$M$97/'Compost Equip'!D15</f>
        <v>#N/A</v>
      </c>
      <c r="E17" s="584" t="e">
        <f>'ASP Model_YW'!$M$97/'Compost Equip'!E15</f>
        <v>#N/A</v>
      </c>
      <c r="F17" s="584" t="e">
        <f>'ASP Model_YW'!$M$97/'Compost Equip'!F15</f>
        <v>#N/A</v>
      </c>
      <c r="G17" s="584" t="e">
        <f>'ASP Model_YW'!$M$97/'Compost Equip'!G15</f>
        <v>#N/A</v>
      </c>
      <c r="H17" s="584" t="e">
        <f>'ASP Model_YW'!$M$97/'Compost Equip'!H15</f>
        <v>#N/A</v>
      </c>
      <c r="I17" s="584" t="e">
        <f>'ASP Model_YW'!$M$97/'Compost Equip'!I15</f>
        <v>#N/A</v>
      </c>
    </row>
    <row r="18" spans="1:10" x14ac:dyDescent="0.35">
      <c r="A18" t="s">
        <v>1003</v>
      </c>
      <c r="B18" t="s">
        <v>1036</v>
      </c>
      <c r="C18" s="584" t="e">
        <f>'ASP Model_YW+FW'!$M$97/'Compost Equip'!C15</f>
        <v>#N/A</v>
      </c>
      <c r="D18" s="584" t="e">
        <f>'ASP Model_YW+FW'!$M$97/'Compost Equip'!D15</f>
        <v>#N/A</v>
      </c>
      <c r="E18" s="584" t="e">
        <f>'ASP Model_YW+FW'!$M$97/'Compost Equip'!E15</f>
        <v>#N/A</v>
      </c>
      <c r="F18" s="584" t="e">
        <f>'ASP Model_YW+FW'!$M$97/'Compost Equip'!F15</f>
        <v>#N/A</v>
      </c>
      <c r="G18" s="584" t="e">
        <f>'ASP Model_YW+FW'!$M$97/'Compost Equip'!G15</f>
        <v>#N/A</v>
      </c>
      <c r="H18" s="584" t="e">
        <f>'ASP Model_YW+FW'!$M$97/'Compost Equip'!H15</f>
        <v>#N/A</v>
      </c>
      <c r="I18" s="584" t="e">
        <f>'ASP Model_YW+FW'!$M$97/'Compost Equip'!I15</f>
        <v>#N/A</v>
      </c>
    </row>
    <row r="19" spans="1:10" x14ac:dyDescent="0.35">
      <c r="A19" s="695" t="s">
        <v>1009</v>
      </c>
      <c r="B19" s="695"/>
      <c r="C19" s="696"/>
      <c r="D19" s="696"/>
      <c r="E19" s="696"/>
      <c r="F19" s="696"/>
      <c r="G19" s="696"/>
      <c r="H19" s="696"/>
      <c r="I19" s="696"/>
    </row>
    <row r="20" spans="1:10" x14ac:dyDescent="0.35">
      <c r="A20" s="695" t="s">
        <v>1010</v>
      </c>
      <c r="B20" s="695"/>
      <c r="C20" s="696" t="e">
        <f>'Windrow Model_YW+FW'!$M$39/'Compost Equip'!C15</f>
        <v>#N/A</v>
      </c>
      <c r="D20" s="696" t="e">
        <f>'Windrow Model_YW+FW'!$M$39/'Compost Equip'!D15</f>
        <v>#N/A</v>
      </c>
      <c r="E20" s="696" t="e">
        <f>'Windrow Model_YW+FW'!$M$39/'Compost Equip'!E15</f>
        <v>#N/A</v>
      </c>
      <c r="F20" s="696" t="e">
        <f>'Windrow Model_YW+FW'!$M$39/'Compost Equip'!F15</f>
        <v>#N/A</v>
      </c>
      <c r="G20" s="696" t="e">
        <f>'Windrow Model_YW+FW'!$M$39/'Compost Equip'!G15</f>
        <v>#N/A</v>
      </c>
      <c r="H20" s="696" t="e">
        <f>'Windrow Model_YW+FW'!$M$39/'Compost Equip'!H15</f>
        <v>#N/A</v>
      </c>
      <c r="I20" s="696" t="e">
        <f>'Windrow Model_YW+FW'!$M$39/'Compost Equip'!I15</f>
        <v>#N/A</v>
      </c>
    </row>
    <row r="21" spans="1:10" s="697" customFormat="1" x14ac:dyDescent="0.35"/>
    <row r="22" spans="1:10" x14ac:dyDescent="0.35">
      <c r="A22" s="406" t="s">
        <v>1008</v>
      </c>
    </row>
    <row r="23" spans="1:10" x14ac:dyDescent="0.35">
      <c r="A23" s="695" t="s">
        <v>1009</v>
      </c>
      <c r="B23" s="695"/>
      <c r="C23" s="695"/>
      <c r="D23" s="695"/>
      <c r="E23" s="695"/>
      <c r="F23" s="695"/>
      <c r="G23" s="695"/>
      <c r="H23" s="695"/>
      <c r="I23" s="695"/>
      <c r="J23" s="695"/>
    </row>
    <row r="24" spans="1:10" x14ac:dyDescent="0.35">
      <c r="A24" s="695" t="s">
        <v>1010</v>
      </c>
      <c r="B24" s="695"/>
      <c r="C24" s="695"/>
      <c r="D24" s="695"/>
      <c r="E24" s="695"/>
      <c r="F24" s="695"/>
      <c r="G24" s="695"/>
      <c r="H24" s="695"/>
      <c r="I24" s="695"/>
      <c r="J24" s="695"/>
    </row>
    <row r="25" spans="1:10" s="697" customFormat="1" x14ac:dyDescent="0.3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17"/>
  <sheetViews>
    <sheetView workbookViewId="0"/>
  </sheetViews>
  <sheetFormatPr defaultColWidth="8.81640625" defaultRowHeight="13" x14ac:dyDescent="0.3"/>
  <cols>
    <col min="1" max="1" width="3.1796875" style="6" customWidth="1"/>
    <col min="2" max="2" width="42.453125" style="31" bestFit="1" customWidth="1"/>
    <col min="3" max="5" width="13.81640625" style="31" customWidth="1"/>
    <col min="6" max="6" width="14.81640625" style="31" customWidth="1"/>
    <col min="7" max="8" width="13.81640625" style="31" customWidth="1"/>
    <col min="9" max="9" width="14" style="31" customWidth="1"/>
    <col min="10" max="16384" width="8.81640625" style="6"/>
  </cols>
  <sheetData>
    <row r="1" spans="2:9" x14ac:dyDescent="0.3">
      <c r="B1" s="49"/>
      <c r="C1" s="49"/>
      <c r="D1" s="49"/>
      <c r="E1" s="49"/>
      <c r="F1" s="49"/>
      <c r="G1" s="49"/>
      <c r="H1" s="49"/>
      <c r="I1" s="49"/>
    </row>
    <row r="2" spans="2:9" ht="35.5" x14ac:dyDescent="1">
      <c r="B2" s="121" t="s">
        <v>460</v>
      </c>
      <c r="C2" s="71">
        <f>Input!C4</f>
        <v>0</v>
      </c>
      <c r="D2" s="72"/>
      <c r="E2" s="73"/>
      <c r="F2" s="73"/>
      <c r="G2" s="73"/>
      <c r="H2" s="73"/>
      <c r="I2" s="73"/>
    </row>
    <row r="3" spans="2:9" x14ac:dyDescent="0.3">
      <c r="B3" s="49"/>
      <c r="C3" s="50"/>
      <c r="D3" s="49"/>
      <c r="E3" s="49"/>
      <c r="F3" s="49"/>
      <c r="G3" s="49"/>
      <c r="H3" s="49"/>
      <c r="I3" s="49"/>
    </row>
    <row r="4" spans="2:9" ht="46.4" customHeight="1" x14ac:dyDescent="0.3">
      <c r="B4" s="53"/>
      <c r="C4" s="830" t="s">
        <v>461</v>
      </c>
      <c r="D4" s="831" t="s">
        <v>13</v>
      </c>
      <c r="E4" s="830"/>
      <c r="F4" s="829" t="s">
        <v>14</v>
      </c>
      <c r="G4" s="830"/>
      <c r="H4" s="829" t="s">
        <v>15</v>
      </c>
      <c r="I4" s="830"/>
    </row>
    <row r="5" spans="2:9" ht="50" x14ac:dyDescent="0.3">
      <c r="B5" s="65" t="s">
        <v>16</v>
      </c>
      <c r="C5" s="856"/>
      <c r="D5" s="36" t="s">
        <v>17</v>
      </c>
      <c r="E5" s="37" t="s">
        <v>18</v>
      </c>
      <c r="F5" s="36" t="s">
        <v>19</v>
      </c>
      <c r="G5" s="37" t="s">
        <v>20</v>
      </c>
      <c r="H5" s="36" t="s">
        <v>21</v>
      </c>
      <c r="I5" s="37" t="s">
        <v>22</v>
      </c>
    </row>
    <row r="6" spans="2:9" ht="17.149999999999999" customHeight="1" x14ac:dyDescent="0.3">
      <c r="B6" s="66" t="s">
        <v>23</v>
      </c>
      <c r="C6" s="61" t="e">
        <f>TonnageImpacts!C13</f>
        <v>#N/A</v>
      </c>
      <c r="D6" s="41" t="e">
        <f>TonnageImpacts!D13</f>
        <v>#N/A</v>
      </c>
      <c r="E6" s="40" t="e">
        <f>TonnageImpacts!E13</f>
        <v>#N/A</v>
      </c>
      <c r="F6" s="41" t="e">
        <f>TonnageImpacts!F13</f>
        <v>#N/A</v>
      </c>
      <c r="G6" s="40" t="e">
        <f>TonnageImpacts!G13</f>
        <v>#N/A</v>
      </c>
      <c r="H6" s="41" t="e">
        <f>TonnageImpacts!H13</f>
        <v>#N/A</v>
      </c>
      <c r="I6" s="40" t="e">
        <f>TonnageImpacts!I13</f>
        <v>#N/A</v>
      </c>
    </row>
    <row r="7" spans="2:9" ht="17.149999999999999" customHeight="1" x14ac:dyDescent="0.3">
      <c r="B7" s="66" t="s">
        <v>24</v>
      </c>
      <c r="C7" s="61" t="e">
        <f>(C6*2000)/Input!$C$8</f>
        <v>#N/A</v>
      </c>
      <c r="D7" s="41" t="e">
        <f>(D6*2000)/Input!$C$8</f>
        <v>#N/A</v>
      </c>
      <c r="E7" s="40" t="e">
        <f>(E6*2000)/Input!$C$8</f>
        <v>#N/A</v>
      </c>
      <c r="F7" s="41" t="e">
        <f>(F6*2000)/Input!$C$8</f>
        <v>#N/A</v>
      </c>
      <c r="G7" s="40" t="e">
        <f>(G6*2000)/Input!$C$8</f>
        <v>#N/A</v>
      </c>
      <c r="H7" s="41" t="e">
        <f>(H6*2000)/Input!$C$8</f>
        <v>#N/A</v>
      </c>
      <c r="I7" s="40" t="e">
        <f>(I6*2000)/Input!$C$8</f>
        <v>#N/A</v>
      </c>
    </row>
    <row r="8" spans="2:9" ht="17.149999999999999" customHeight="1" x14ac:dyDescent="0.3">
      <c r="B8" s="60" t="s">
        <v>65</v>
      </c>
      <c r="C8" s="62"/>
      <c r="D8" s="54"/>
      <c r="E8" s="57"/>
      <c r="F8" s="54"/>
      <c r="G8" s="57"/>
      <c r="H8" s="54"/>
      <c r="I8" s="57"/>
    </row>
    <row r="9" spans="2:9" ht="17.149999999999999" customHeight="1" x14ac:dyDescent="0.3">
      <c r="B9" s="66" t="s">
        <v>462</v>
      </c>
      <c r="C9" s="63" t="e">
        <f>Outputs!C44</f>
        <v>#N/A</v>
      </c>
      <c r="D9" s="55" t="e">
        <f>Outputs!D44</f>
        <v>#N/A</v>
      </c>
      <c r="E9" s="58" t="e">
        <f>Outputs!E44</f>
        <v>#N/A</v>
      </c>
      <c r="F9" s="55" t="e">
        <f>Outputs!F44</f>
        <v>#N/A</v>
      </c>
      <c r="G9" s="58" t="e">
        <f>Outputs!G44</f>
        <v>#N/A</v>
      </c>
      <c r="H9" s="55" t="e">
        <f>Outputs!H44</f>
        <v>#N/A</v>
      </c>
      <c r="I9" s="58" t="e">
        <f>Outputs!I44</f>
        <v>#N/A</v>
      </c>
    </row>
    <row r="10" spans="2:9" ht="17.149999999999999" customHeight="1" x14ac:dyDescent="0.3">
      <c r="B10" s="66" t="s">
        <v>463</v>
      </c>
      <c r="C10" s="63">
        <f>Outputs!C45</f>
        <v>0</v>
      </c>
      <c r="D10" s="55">
        <f>Outputs!D45</f>
        <v>0</v>
      </c>
      <c r="E10" s="58">
        <f>Outputs!E45</f>
        <v>0</v>
      </c>
      <c r="F10" s="55">
        <f>Outputs!F45</f>
        <v>0</v>
      </c>
      <c r="G10" s="58">
        <f>Outputs!G45</f>
        <v>0</v>
      </c>
      <c r="H10" s="55">
        <f>Outputs!H45</f>
        <v>0</v>
      </c>
      <c r="I10" s="58">
        <f>Outputs!I45</f>
        <v>0</v>
      </c>
    </row>
    <row r="11" spans="2:9" ht="17.149999999999999" customHeight="1" x14ac:dyDescent="0.3">
      <c r="B11" s="66" t="s">
        <v>28</v>
      </c>
      <c r="C11" s="64" t="e">
        <f>Outputs!C51</f>
        <v>#N/A</v>
      </c>
      <c r="D11" s="56" t="e">
        <f>Outputs!D51</f>
        <v>#N/A</v>
      </c>
      <c r="E11" s="59" t="e">
        <f>Outputs!E51</f>
        <v>#N/A</v>
      </c>
      <c r="F11" s="56" t="e">
        <f>Outputs!F51</f>
        <v>#N/A</v>
      </c>
      <c r="G11" s="59" t="e">
        <f>Outputs!G51</f>
        <v>#N/A</v>
      </c>
      <c r="H11" s="56" t="e">
        <f>Outputs!H51</f>
        <v>#N/A</v>
      </c>
      <c r="I11" s="59" t="e">
        <f>Outputs!I51</f>
        <v>#N/A</v>
      </c>
    </row>
    <row r="12" spans="2:9" ht="17.149999999999999" customHeight="1" x14ac:dyDescent="0.3">
      <c r="B12" s="66" t="s">
        <v>29</v>
      </c>
      <c r="C12" s="64" t="e">
        <f>Outputs!C50</f>
        <v>#N/A</v>
      </c>
      <c r="D12" s="56" t="e">
        <f>Outputs!D50</f>
        <v>#N/A</v>
      </c>
      <c r="E12" s="59" t="e">
        <f>Outputs!E50</f>
        <v>#N/A</v>
      </c>
      <c r="F12" s="56" t="e">
        <f>Outputs!F50</f>
        <v>#N/A</v>
      </c>
      <c r="G12" s="59" t="e">
        <f>Outputs!G50</f>
        <v>#N/A</v>
      </c>
      <c r="H12" s="56" t="e">
        <f>Outputs!H50</f>
        <v>#N/A</v>
      </c>
      <c r="I12" s="59" t="e">
        <f>Outputs!I50</f>
        <v>#N/A</v>
      </c>
    </row>
    <row r="13" spans="2:9" ht="17.149999999999999" customHeight="1" x14ac:dyDescent="0.3"/>
    <row r="14" spans="2:9" ht="17.149999999999999" customHeight="1" x14ac:dyDescent="0.3">
      <c r="B14" s="51" t="s">
        <v>70</v>
      </c>
      <c r="C14" s="51"/>
      <c r="D14" s="51"/>
      <c r="E14" s="51"/>
      <c r="F14" s="51"/>
      <c r="G14" s="51"/>
      <c r="H14" s="51"/>
      <c r="I14" s="51"/>
    </row>
    <row r="15" spans="2:9" ht="17.149999999999999" customHeight="1" x14ac:dyDescent="0.3">
      <c r="B15" s="52" t="s">
        <v>464</v>
      </c>
      <c r="C15" s="48" t="e">
        <f>Outputs!C57</f>
        <v>#N/A</v>
      </c>
      <c r="D15" s="48" t="e">
        <f>Outputs!D57</f>
        <v>#N/A</v>
      </c>
      <c r="E15" s="48" t="e">
        <f>Outputs!E57</f>
        <v>#N/A</v>
      </c>
      <c r="F15" s="48" t="e">
        <f>Outputs!F57</f>
        <v>#N/A</v>
      </c>
      <c r="G15" s="48" t="e">
        <f>Outputs!G57</f>
        <v>#N/A</v>
      </c>
      <c r="H15" s="48" t="e">
        <f>Outputs!H57</f>
        <v>#N/A</v>
      </c>
      <c r="I15" s="48" t="e">
        <f>Outputs!I57</f>
        <v>#N/A</v>
      </c>
    </row>
    <row r="16" spans="2:9" ht="17.149999999999999" customHeight="1" x14ac:dyDescent="0.3">
      <c r="B16" s="52" t="s">
        <v>465</v>
      </c>
      <c r="C16" s="48" t="e">
        <f>Outputs!C58</f>
        <v>#N/A</v>
      </c>
      <c r="D16" s="48" t="e">
        <f>Outputs!D58</f>
        <v>#N/A</v>
      </c>
      <c r="E16" s="48" t="e">
        <f>Outputs!E58</f>
        <v>#N/A</v>
      </c>
      <c r="F16" s="48" t="e">
        <f>Outputs!F58</f>
        <v>#N/A</v>
      </c>
      <c r="G16" s="48" t="e">
        <f>Outputs!G58</f>
        <v>#N/A</v>
      </c>
      <c r="H16" s="48" t="e">
        <f>Outputs!H58</f>
        <v>#N/A</v>
      </c>
      <c r="I16" s="48" t="e">
        <f>Outputs!I58</f>
        <v>#N/A</v>
      </c>
    </row>
    <row r="17" spans="2:9" ht="17.149999999999999" customHeight="1" x14ac:dyDescent="0.3">
      <c r="B17" s="52" t="s">
        <v>466</v>
      </c>
      <c r="C17" s="48" t="e">
        <f>Outputs!C59</f>
        <v>#N/A</v>
      </c>
      <c r="D17" s="48" t="e">
        <f>Outputs!D59</f>
        <v>#N/A</v>
      </c>
      <c r="E17" s="48" t="e">
        <f>Outputs!E59</f>
        <v>#N/A</v>
      </c>
      <c r="F17" s="48" t="e">
        <f>Outputs!F59</f>
        <v>#N/A</v>
      </c>
      <c r="G17" s="48" t="e">
        <f>Outputs!G59</f>
        <v>#N/A</v>
      </c>
      <c r="H17" s="48" t="e">
        <f>Outputs!H59</f>
        <v>#N/A</v>
      </c>
      <c r="I17" s="48" t="e">
        <f>Outputs!I59</f>
        <v>#N/A</v>
      </c>
    </row>
  </sheetData>
  <customSheetViews>
    <customSheetView guid="{C6E026A6-065F-4BC7-8A1C-5537BAE31A06}" fitToPage="1" state="hidden">
      <pageMargins left="0" right="0" top="0" bottom="0" header="0" footer="0"/>
      <pageSetup scale="87" orientation="landscape" horizontalDpi="4294967293" verticalDpi="0" r:id="rId1"/>
    </customSheetView>
    <customSheetView guid="{C1E42E27-80DF-5D46-A74B-2BA4AA86045C}" fitToPage="1" state="hidden">
      <pageMargins left="0" right="0" top="0" bottom="0" header="0" footer="0"/>
      <pageSetup scale="87" orientation="landscape" horizontalDpi="4294967293" verticalDpi="0" r:id="rId2"/>
    </customSheetView>
  </customSheetViews>
  <mergeCells count="4">
    <mergeCell ref="C4:C5"/>
    <mergeCell ref="D4:E4"/>
    <mergeCell ref="F4:G4"/>
    <mergeCell ref="H4:I4"/>
  </mergeCells>
  <pageMargins left="0.7" right="0.7" top="0.75" bottom="0.75" header="0.3" footer="0.3"/>
  <pageSetup scale="87" orientation="landscape" horizontalDpi="4294967293" verticalDpi="0"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69"/>
  <sheetViews>
    <sheetView workbookViewId="0">
      <selection activeCell="C5" sqref="C5:F5"/>
    </sheetView>
  </sheetViews>
  <sheetFormatPr defaultColWidth="8.81640625" defaultRowHeight="13" x14ac:dyDescent="0.3"/>
  <cols>
    <col min="1" max="1" width="46.81640625" style="1" customWidth="1"/>
    <col min="2" max="2" width="17.81640625" style="1" customWidth="1"/>
    <col min="3" max="16384" width="8.81640625" style="1"/>
  </cols>
  <sheetData>
    <row r="1" spans="1:4" ht="26" x14ac:dyDescent="0.3">
      <c r="A1" s="150" t="s">
        <v>315</v>
      </c>
      <c r="B1" s="74" t="s">
        <v>316</v>
      </c>
    </row>
    <row r="2" spans="1:4" x14ac:dyDescent="0.3">
      <c r="A2" s="9" t="s">
        <v>609</v>
      </c>
      <c r="B2" s="75">
        <f>TonnageImpacts!C4</f>
        <v>0</v>
      </c>
    </row>
    <row r="3" spans="1:4" x14ac:dyDescent="0.3">
      <c r="A3" s="76" t="s">
        <v>317</v>
      </c>
      <c r="B3" s="75" t="e">
        <f>TonnageImpacts!C13</f>
        <v>#N/A</v>
      </c>
      <c r="D3" s="759"/>
    </row>
    <row r="4" spans="1:4" x14ac:dyDescent="0.3">
      <c r="A4" s="76" t="s">
        <v>611</v>
      </c>
      <c r="B4" s="75" t="e">
        <f>B3/(Rolloff_Capacity*Rollofff_Utilization_Factor*Rollofff_Density/2000)</f>
        <v>#N/A</v>
      </c>
    </row>
    <row r="5" spans="1:4" x14ac:dyDescent="0.3">
      <c r="A5" s="76" t="s">
        <v>610</v>
      </c>
      <c r="B5" s="3" t="e">
        <f>ROUNDUP(B4/Workdays_per_Year,1)</f>
        <v>#N/A</v>
      </c>
    </row>
    <row r="6" spans="1:4" x14ac:dyDescent="0.3">
      <c r="A6" s="76" t="s">
        <v>320</v>
      </c>
      <c r="B6" s="3">
        <f>IF((B2/Number_of_Hh_per_Drop_Off_site)&lt;1,1,ROUNDDOWN(B2/Number_of_Hh_per_Drop_Off_site,0))</f>
        <v>1</v>
      </c>
    </row>
    <row r="7" spans="1:4" x14ac:dyDescent="0.3">
      <c r="A7" s="77"/>
      <c r="B7" s="77"/>
    </row>
    <row r="8" spans="1:4" x14ac:dyDescent="0.3">
      <c r="A8" s="78" t="s">
        <v>321</v>
      </c>
      <c r="B8" s="3"/>
    </row>
    <row r="9" spans="1:4" x14ac:dyDescent="0.3">
      <c r="A9" s="79" t="s">
        <v>322</v>
      </c>
      <c r="B9" s="3"/>
    </row>
    <row r="10" spans="1:4" x14ac:dyDescent="0.3">
      <c r="A10" s="80" t="s">
        <v>323</v>
      </c>
      <c r="B10" s="139"/>
    </row>
    <row r="11" spans="1:4" x14ac:dyDescent="0.3">
      <c r="A11" s="80" t="s">
        <v>324</v>
      </c>
      <c r="B11" s="139"/>
    </row>
    <row r="12" spans="1:4" x14ac:dyDescent="0.3">
      <c r="A12" s="81" t="s">
        <v>325</v>
      </c>
      <c r="B12" s="139"/>
    </row>
    <row r="13" spans="1:4" x14ac:dyDescent="0.3">
      <c r="A13" s="81" t="s">
        <v>326</v>
      </c>
      <c r="B13" s="139"/>
    </row>
    <row r="14" spans="1:4" ht="13.5" thickBot="1" x14ac:dyDescent="0.35">
      <c r="A14" s="128" t="s">
        <v>327</v>
      </c>
      <c r="B14" s="129"/>
    </row>
    <row r="15" spans="1:4" x14ac:dyDescent="0.3">
      <c r="A15" s="127" t="s">
        <v>328</v>
      </c>
      <c r="B15" s="140"/>
    </row>
    <row r="16" spans="1:4" x14ac:dyDescent="0.3">
      <c r="A16" s="82" t="s">
        <v>329</v>
      </c>
      <c r="B16" s="141"/>
    </row>
    <row r="17" spans="1:2" x14ac:dyDescent="0.3">
      <c r="A17" s="82" t="s">
        <v>330</v>
      </c>
      <c r="B17" s="141"/>
    </row>
    <row r="18" spans="1:2" ht="13.5" thickBot="1" x14ac:dyDescent="0.35">
      <c r="A18" s="128" t="s">
        <v>331</v>
      </c>
      <c r="B18" s="129"/>
    </row>
    <row r="19" spans="1:2" x14ac:dyDescent="0.3">
      <c r="A19" s="127" t="s">
        <v>332</v>
      </c>
      <c r="B19" s="131"/>
    </row>
    <row r="20" spans="1:2" x14ac:dyDescent="0.3">
      <c r="A20" s="82" t="s">
        <v>333</v>
      </c>
      <c r="B20" s="85"/>
    </row>
    <row r="21" spans="1:2" x14ac:dyDescent="0.3">
      <c r="A21" s="82" t="s">
        <v>334</v>
      </c>
      <c r="B21" s="142"/>
    </row>
    <row r="22" spans="1:2" x14ac:dyDescent="0.3">
      <c r="A22" s="82" t="s">
        <v>335</v>
      </c>
      <c r="B22" s="83"/>
    </row>
    <row r="23" spans="1:2" ht="13.5" thickBot="1" x14ac:dyDescent="0.35">
      <c r="A23" s="128" t="s">
        <v>336</v>
      </c>
      <c r="B23" s="129"/>
    </row>
    <row r="24" spans="1:2" x14ac:dyDescent="0.3">
      <c r="A24" s="137" t="s">
        <v>337</v>
      </c>
      <c r="B24" s="138"/>
    </row>
    <row r="25" spans="1:2" ht="13.5" thickBot="1" x14ac:dyDescent="0.35">
      <c r="A25" s="134" t="s">
        <v>338</v>
      </c>
      <c r="B25" s="135"/>
    </row>
    <row r="26" spans="1:2" x14ac:dyDescent="0.3">
      <c r="A26" s="130"/>
      <c r="B26" s="131"/>
    </row>
    <row r="27" spans="1:2" x14ac:dyDescent="0.3">
      <c r="A27" s="76" t="s">
        <v>339</v>
      </c>
      <c r="B27" s="87"/>
    </row>
    <row r="28" spans="1:2" x14ac:dyDescent="0.3">
      <c r="A28" s="88" t="s">
        <v>340</v>
      </c>
      <c r="B28" s="89">
        <f>ROUNDDOWN(B2/Number_of_Hh_per_Drop_Off_site,0)</f>
        <v>0</v>
      </c>
    </row>
    <row r="29" spans="1:2" x14ac:dyDescent="0.3">
      <c r="A29" s="80" t="s">
        <v>341</v>
      </c>
      <c r="B29" s="373">
        <v>70000</v>
      </c>
    </row>
    <row r="30" spans="1:2" x14ac:dyDescent="0.3">
      <c r="A30" s="76" t="s">
        <v>342</v>
      </c>
      <c r="B30" s="139">
        <f>B29*B28</f>
        <v>0</v>
      </c>
    </row>
    <row r="31" spans="1:2" ht="13.5" thickBot="1" x14ac:dyDescent="0.35">
      <c r="A31" s="143" t="s">
        <v>343</v>
      </c>
      <c r="B31" s="133">
        <f>-PMT(Interest_Rate,Building_Cost_Amortisation,B30)</f>
        <v>0</v>
      </c>
    </row>
    <row r="32" spans="1:2" x14ac:dyDescent="0.3">
      <c r="A32" s="130"/>
      <c r="B32" s="131"/>
    </row>
    <row r="33" spans="1:2" x14ac:dyDescent="0.3">
      <c r="A33" s="86" t="s">
        <v>344</v>
      </c>
      <c r="B33" s="85"/>
    </row>
    <row r="34" spans="1:2" x14ac:dyDescent="0.3">
      <c r="A34" s="82" t="s">
        <v>345</v>
      </c>
      <c r="B34" s="83">
        <v>0</v>
      </c>
    </row>
    <row r="35" spans="1:2" x14ac:dyDescent="0.3">
      <c r="A35" s="82" t="s">
        <v>346</v>
      </c>
      <c r="B35" s="83">
        <f>B31</f>
        <v>0</v>
      </c>
    </row>
    <row r="36" spans="1:2" x14ac:dyDescent="0.3">
      <c r="A36" s="82" t="s">
        <v>347</v>
      </c>
      <c r="B36" s="83">
        <v>0</v>
      </c>
    </row>
    <row r="37" spans="1:2" x14ac:dyDescent="0.3">
      <c r="A37" s="82" t="s">
        <v>328</v>
      </c>
      <c r="B37" s="83">
        <v>0</v>
      </c>
    </row>
    <row r="38" spans="1:2" ht="13.5" thickBot="1" x14ac:dyDescent="0.35">
      <c r="A38" s="132" t="s">
        <v>348</v>
      </c>
      <c r="B38" s="133">
        <f>-SUM(B34:B37)</f>
        <v>0</v>
      </c>
    </row>
    <row r="39" spans="1:2" x14ac:dyDescent="0.3">
      <c r="A39" s="136"/>
      <c r="B39" s="131"/>
    </row>
    <row r="40" spans="1:2" x14ac:dyDescent="0.3">
      <c r="A40" s="86" t="s">
        <v>58</v>
      </c>
      <c r="B40" s="85"/>
    </row>
    <row r="41" spans="1:2" x14ac:dyDescent="0.3">
      <c r="A41" s="82" t="s">
        <v>349</v>
      </c>
      <c r="B41" s="91"/>
    </row>
    <row r="42" spans="1:2" x14ac:dyDescent="0.3">
      <c r="A42" s="84" t="s">
        <v>350</v>
      </c>
      <c r="B42" s="144">
        <v>0</v>
      </c>
    </row>
    <row r="43" spans="1:2" x14ac:dyDescent="0.3">
      <c r="A43" s="84" t="s">
        <v>351</v>
      </c>
      <c r="B43" s="145">
        <v>0</v>
      </c>
    </row>
    <row r="44" spans="1:2" x14ac:dyDescent="0.3">
      <c r="A44" s="84" t="s">
        <v>352</v>
      </c>
      <c r="B44" s="145">
        <v>0</v>
      </c>
    </row>
    <row r="45" spans="1:2" x14ac:dyDescent="0.3">
      <c r="A45" s="84" t="s">
        <v>353</v>
      </c>
      <c r="B45" s="145" t="e">
        <f>IF(B3&lt;10000,0,(B3*1)/10000)</f>
        <v>#N/A</v>
      </c>
    </row>
    <row r="46" spans="1:2" x14ac:dyDescent="0.3">
      <c r="A46" s="84" t="s">
        <v>354</v>
      </c>
      <c r="B46" s="145">
        <v>0</v>
      </c>
    </row>
    <row r="47" spans="1:2" x14ac:dyDescent="0.3">
      <c r="A47" s="84" t="s">
        <v>355</v>
      </c>
      <c r="B47" s="145">
        <v>0</v>
      </c>
    </row>
    <row r="48" spans="1:2" x14ac:dyDescent="0.3">
      <c r="A48" s="82" t="s">
        <v>356</v>
      </c>
      <c r="B48" s="83" t="e">
        <f>B42*C4+B43*DriverWages+B44*EquipOperatorWages+B45*MaintenaeWages+B46*ScaleClericalWages+B47*MgmtWages</f>
        <v>#N/A</v>
      </c>
    </row>
    <row r="49" spans="1:2" x14ac:dyDescent="0.3">
      <c r="A49" s="82" t="s">
        <v>357</v>
      </c>
      <c r="B49" s="83">
        <v>0</v>
      </c>
    </row>
    <row r="50" spans="1:2" x14ac:dyDescent="0.3">
      <c r="A50" s="82" t="s">
        <v>358</v>
      </c>
      <c r="B50" s="83">
        <v>0</v>
      </c>
    </row>
    <row r="51" spans="1:2" x14ac:dyDescent="0.3">
      <c r="A51" s="82" t="s">
        <v>359</v>
      </c>
      <c r="B51" s="83">
        <v>0</v>
      </c>
    </row>
    <row r="52" spans="1:2" x14ac:dyDescent="0.3">
      <c r="A52" s="82" t="s">
        <v>360</v>
      </c>
      <c r="B52" s="83">
        <f>Tax_Rate*(B34+B35)</f>
        <v>0</v>
      </c>
    </row>
    <row r="53" spans="1:2" x14ac:dyDescent="0.3">
      <c r="A53" s="82" t="s">
        <v>361</v>
      </c>
      <c r="B53" s="83">
        <v>0</v>
      </c>
    </row>
    <row r="54" spans="1:2" x14ac:dyDescent="0.3">
      <c r="A54" s="80" t="s">
        <v>362</v>
      </c>
      <c r="B54" s="83" t="e">
        <f>-SUM(B49:B53)*B28-B48</f>
        <v>#N/A</v>
      </c>
    </row>
    <row r="55" spans="1:2" x14ac:dyDescent="0.3">
      <c r="A55" s="146" t="s">
        <v>363</v>
      </c>
      <c r="B55" s="90" t="e">
        <f>B54+B38</f>
        <v>#N/A</v>
      </c>
    </row>
    <row r="56" spans="1:2" x14ac:dyDescent="0.3">
      <c r="A56" s="146" t="s">
        <v>363</v>
      </c>
      <c r="B56" s="93" t="e">
        <f>B55</f>
        <v>#N/A</v>
      </c>
    </row>
    <row r="57" spans="1:2" ht="26" x14ac:dyDescent="0.3">
      <c r="A57" s="147" t="s">
        <v>364</v>
      </c>
      <c r="B57" s="83" t="e">
        <f>B56*5%</f>
        <v>#N/A</v>
      </c>
    </row>
    <row r="58" spans="1:2" x14ac:dyDescent="0.3">
      <c r="A58" s="92" t="s">
        <v>365</v>
      </c>
      <c r="B58" s="83" t="e">
        <f>B56+B57</f>
        <v>#N/A</v>
      </c>
    </row>
    <row r="59" spans="1:2" x14ac:dyDescent="0.3">
      <c r="A59" s="86" t="s">
        <v>366</v>
      </c>
      <c r="B59" s="94" t="e">
        <f>B58/B3</f>
        <v>#N/A</v>
      </c>
    </row>
    <row r="60" spans="1:2" x14ac:dyDescent="0.3">
      <c r="A60" s="86" t="s">
        <v>367</v>
      </c>
      <c r="B60" s="95" t="e">
        <f>B58/B2</f>
        <v>#N/A</v>
      </c>
    </row>
    <row r="63" spans="1:2" x14ac:dyDescent="0.3">
      <c r="A63" s="2" t="s">
        <v>266</v>
      </c>
    </row>
    <row r="64" spans="1:2" x14ac:dyDescent="0.3">
      <c r="A64" s="3" t="s">
        <v>368</v>
      </c>
      <c r="B64" s="3">
        <f>B6</f>
        <v>1</v>
      </c>
    </row>
    <row r="65" spans="1:2" x14ac:dyDescent="0.3">
      <c r="A65" s="3" t="s">
        <v>59</v>
      </c>
      <c r="B65" s="25">
        <f>-B30</f>
        <v>0</v>
      </c>
    </row>
    <row r="66" spans="1:2" x14ac:dyDescent="0.3">
      <c r="A66" s="3" t="s">
        <v>1054</v>
      </c>
      <c r="B66" s="25">
        <f>B38</f>
        <v>0</v>
      </c>
    </row>
    <row r="67" spans="1:2" x14ac:dyDescent="0.3">
      <c r="A67" s="3" t="s">
        <v>369</v>
      </c>
      <c r="B67" s="25" t="e">
        <f>B54</f>
        <v>#N/A</v>
      </c>
    </row>
    <row r="68" spans="1:2" x14ac:dyDescent="0.3">
      <c r="A68" s="3" t="s">
        <v>370</v>
      </c>
      <c r="B68" s="25" t="e">
        <f>B66+B67</f>
        <v>#N/A</v>
      </c>
    </row>
    <row r="69" spans="1:2" x14ac:dyDescent="0.3">
      <c r="A69" s="3" t="s">
        <v>371</v>
      </c>
      <c r="B69" s="25" t="e">
        <f>B68/B64</f>
        <v>#N/A</v>
      </c>
    </row>
  </sheetData>
  <customSheetViews>
    <customSheetView guid="{C6E026A6-065F-4BC7-8A1C-5537BAE31A06}" state="hidden">
      <pageMargins left="0" right="0" top="0" bottom="0" header="0" footer="0"/>
      <pageSetup orientation="portrait" horizontalDpi="4294967293" verticalDpi="0" r:id="rId1"/>
    </customSheetView>
    <customSheetView guid="{C1E42E27-80DF-5D46-A74B-2BA4AA86045C}" state="hidden">
      <pageMargins left="0" right="0" top="0" bottom="0" header="0" footer="0"/>
      <pageSetup orientation="portrait" horizontalDpi="4294967293" verticalDpi="0" r:id="rId2"/>
    </customSheetView>
  </customSheetViews>
  <pageMargins left="0.7" right="0.7" top="0.75" bottom="0.75" header="0.3" footer="0.3"/>
  <pageSetup orientation="portrait" horizontalDpi="4294967293"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AU144"/>
  <sheetViews>
    <sheetView zoomScaleNormal="100" workbookViewId="0">
      <selection activeCell="C8" sqref="C8"/>
    </sheetView>
  </sheetViews>
  <sheetFormatPr defaultColWidth="8.81640625" defaultRowHeight="14" x14ac:dyDescent="0.35"/>
  <cols>
    <col min="1" max="1" width="3.26953125" style="763" customWidth="1"/>
    <col min="2" max="2" width="7.81640625" style="763" customWidth="1"/>
    <col min="3" max="3" width="125" style="763" customWidth="1"/>
    <col min="4" max="4" width="15.7265625" style="763" customWidth="1"/>
    <col min="5" max="5" width="11.1796875" style="763" hidden="1" customWidth="1"/>
    <col min="6" max="7" width="8.81640625" style="763"/>
    <col min="8" max="47" width="8.81640625" style="761"/>
    <col min="48" max="16384" width="8.81640625" style="763"/>
  </cols>
  <sheetData>
    <row r="1" spans="1:47" ht="48" customHeight="1" thickBot="1" x14ac:dyDescent="0.4">
      <c r="A1" s="761"/>
      <c r="B1" s="762" t="s">
        <v>1077</v>
      </c>
      <c r="C1" s="761"/>
      <c r="D1" s="761"/>
      <c r="E1" s="761"/>
      <c r="F1" s="761"/>
      <c r="G1" s="761"/>
    </row>
    <row r="2" spans="1:47" s="768" customFormat="1" ht="44.15" customHeight="1" thickTop="1" thickBot="1" x14ac:dyDescent="0.95">
      <c r="A2" s="764"/>
      <c r="B2" s="765"/>
      <c r="C2" s="766" t="s">
        <v>1044</v>
      </c>
      <c r="D2" s="767"/>
      <c r="E2" s="767"/>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row>
    <row r="3" spans="1:47" s="768" customFormat="1" ht="26.15" customHeight="1" thickTop="1" x14ac:dyDescent="0.35">
      <c r="A3" s="769"/>
      <c r="B3" s="770"/>
      <c r="C3" s="770" t="s">
        <v>0</v>
      </c>
      <c r="D3" s="771"/>
      <c r="E3" s="771"/>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c r="AN3" s="764"/>
      <c r="AO3" s="764"/>
      <c r="AP3" s="764"/>
      <c r="AQ3" s="764"/>
      <c r="AR3" s="764"/>
      <c r="AS3" s="764"/>
      <c r="AT3" s="764"/>
      <c r="AU3" s="764"/>
    </row>
    <row r="4" spans="1:47" s="768" customFormat="1" x14ac:dyDescent="0.35">
      <c r="A4" s="764"/>
      <c r="B4" s="771"/>
      <c r="C4" s="788"/>
      <c r="D4" s="771"/>
      <c r="E4" s="771"/>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4"/>
      <c r="AO4" s="764"/>
      <c r="AP4" s="764"/>
      <c r="AQ4" s="764"/>
      <c r="AR4" s="764"/>
      <c r="AS4" s="764"/>
      <c r="AT4" s="764"/>
      <c r="AU4" s="764"/>
    </row>
    <row r="5" spans="1:47" s="768" customFormat="1" ht="26.15" customHeight="1" x14ac:dyDescent="0.35">
      <c r="A5" s="764"/>
      <c r="B5" s="771"/>
      <c r="C5" s="770" t="s">
        <v>1</v>
      </c>
      <c r="D5" s="771"/>
      <c r="E5" s="771"/>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c r="AO5" s="764"/>
      <c r="AP5" s="764"/>
      <c r="AQ5" s="764"/>
      <c r="AR5" s="764"/>
      <c r="AS5" s="764"/>
      <c r="AT5" s="764"/>
      <c r="AU5" s="764"/>
    </row>
    <row r="6" spans="1:47" s="768" customFormat="1" x14ac:dyDescent="0.35">
      <c r="A6" s="764"/>
      <c r="B6" s="771"/>
      <c r="C6" s="118"/>
      <c r="D6" s="771"/>
      <c r="E6" s="771"/>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c r="AH6" s="764"/>
      <c r="AI6" s="764"/>
      <c r="AJ6" s="764"/>
      <c r="AK6" s="764"/>
      <c r="AL6" s="764"/>
      <c r="AM6" s="764"/>
      <c r="AN6" s="764"/>
      <c r="AO6" s="764"/>
      <c r="AP6" s="764"/>
      <c r="AQ6" s="764"/>
      <c r="AR6" s="764"/>
      <c r="AS6" s="764"/>
      <c r="AT6" s="764"/>
      <c r="AU6" s="764"/>
    </row>
    <row r="7" spans="1:47" s="768" customFormat="1" ht="42" customHeight="1" x14ac:dyDescent="0.35">
      <c r="A7" s="764"/>
      <c r="B7" s="771"/>
      <c r="C7" s="772" t="s">
        <v>2</v>
      </c>
      <c r="D7" s="772"/>
      <c r="E7" s="771"/>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row>
    <row r="8" spans="1:47" s="768" customFormat="1" x14ac:dyDescent="0.35">
      <c r="A8" s="764"/>
      <c r="B8" s="771"/>
      <c r="C8" s="715"/>
      <c r="D8" s="773" t="str">
        <f>IF(C8&gt;0,"","Please enter a numeric value greater than 0.")</f>
        <v>Please enter a numeric value greater than 0.</v>
      </c>
      <c r="E8" s="771"/>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764"/>
      <c r="AT8" s="764"/>
      <c r="AU8" s="764"/>
    </row>
    <row r="9" spans="1:47" s="768" customFormat="1" ht="26.15" customHeight="1" x14ac:dyDescent="0.35">
      <c r="A9" s="764"/>
      <c r="B9" s="771"/>
      <c r="C9" s="772" t="s">
        <v>1037</v>
      </c>
      <c r="D9" s="774"/>
      <c r="E9" s="771"/>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4"/>
      <c r="AL9" s="764"/>
      <c r="AM9" s="764"/>
      <c r="AN9" s="764"/>
      <c r="AO9" s="764"/>
      <c r="AP9" s="764"/>
      <c r="AQ9" s="764"/>
      <c r="AR9" s="764"/>
      <c r="AS9" s="764"/>
      <c r="AT9" s="764"/>
      <c r="AU9" s="764"/>
    </row>
    <row r="10" spans="1:47" s="768" customFormat="1" x14ac:dyDescent="0.35">
      <c r="A10" s="764"/>
      <c r="B10" s="771"/>
      <c r="C10" s="119"/>
      <c r="D10" s="774"/>
      <c r="E10" s="771"/>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row>
    <row r="11" spans="1:47" s="768" customFormat="1" ht="26.15" customHeight="1" x14ac:dyDescent="0.35">
      <c r="A11" s="764"/>
      <c r="B11" s="771"/>
      <c r="C11" s="770" t="s">
        <v>3</v>
      </c>
      <c r="D11" s="774"/>
      <c r="E11" s="771"/>
      <c r="F11" s="764"/>
      <c r="G11" s="764"/>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row>
    <row r="12" spans="1:47" s="768" customFormat="1" x14ac:dyDescent="0.35">
      <c r="A12" s="764"/>
      <c r="B12" s="771"/>
      <c r="C12" s="118"/>
      <c r="D12" s="774"/>
      <c r="E12" s="771"/>
      <c r="F12" s="764"/>
      <c r="G12" s="764"/>
      <c r="H12" s="764"/>
      <c r="I12" s="764"/>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c r="AH12" s="764"/>
      <c r="AI12" s="764"/>
      <c r="AJ12" s="764"/>
      <c r="AK12" s="764"/>
      <c r="AL12" s="764"/>
      <c r="AM12" s="764"/>
      <c r="AN12" s="764"/>
      <c r="AO12" s="764"/>
      <c r="AP12" s="764"/>
      <c r="AQ12" s="764"/>
      <c r="AR12" s="764"/>
      <c r="AS12" s="764"/>
      <c r="AT12" s="764"/>
      <c r="AU12" s="764"/>
    </row>
    <row r="13" spans="1:47" s="768" customFormat="1" ht="26.15" customHeight="1" x14ac:dyDescent="0.35">
      <c r="A13" s="764"/>
      <c r="B13" s="771"/>
      <c r="C13" s="770" t="s">
        <v>1038</v>
      </c>
      <c r="D13" s="774"/>
      <c r="E13" s="771"/>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764"/>
      <c r="AD13" s="764"/>
      <c r="AE13" s="764"/>
      <c r="AF13" s="764"/>
      <c r="AG13" s="764"/>
      <c r="AH13" s="764"/>
      <c r="AI13" s="764"/>
      <c r="AJ13" s="764"/>
      <c r="AK13" s="764"/>
      <c r="AL13" s="764"/>
      <c r="AM13" s="764"/>
      <c r="AN13" s="764"/>
      <c r="AO13" s="764"/>
      <c r="AP13" s="764"/>
      <c r="AQ13" s="764"/>
      <c r="AR13" s="764"/>
      <c r="AS13" s="764"/>
      <c r="AT13" s="764"/>
      <c r="AU13" s="764"/>
    </row>
    <row r="14" spans="1:47" s="768" customFormat="1" x14ac:dyDescent="0.35">
      <c r="A14" s="764"/>
      <c r="B14" s="771"/>
      <c r="C14" s="118"/>
      <c r="D14" s="774"/>
      <c r="E14" s="771"/>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4"/>
      <c r="AL14" s="764"/>
      <c r="AM14" s="764"/>
      <c r="AN14" s="764"/>
      <c r="AO14" s="764"/>
      <c r="AP14" s="764"/>
      <c r="AQ14" s="764"/>
      <c r="AR14" s="764"/>
      <c r="AS14" s="764"/>
      <c r="AT14" s="764"/>
      <c r="AU14" s="764"/>
    </row>
    <row r="15" spans="1:47" s="768" customFormat="1" ht="26.15" customHeight="1" x14ac:dyDescent="0.35">
      <c r="A15" s="764"/>
      <c r="B15" s="771"/>
      <c r="C15" s="770" t="s">
        <v>1039</v>
      </c>
      <c r="D15" s="774"/>
      <c r="E15" s="771"/>
      <c r="F15" s="764"/>
      <c r="G15" s="764"/>
      <c r="H15" s="764"/>
      <c r="I15" s="764"/>
      <c r="J15" s="764"/>
      <c r="K15" s="764"/>
      <c r="L15" s="764"/>
      <c r="M15" s="764"/>
      <c r="N15" s="764"/>
      <c r="O15" s="764"/>
      <c r="P15" s="764"/>
      <c r="Q15" s="764"/>
      <c r="R15" s="764"/>
      <c r="S15" s="764"/>
      <c r="T15" s="764"/>
      <c r="U15" s="764"/>
      <c r="V15" s="764"/>
      <c r="W15" s="764"/>
      <c r="X15" s="764"/>
      <c r="Y15" s="764"/>
      <c r="Z15" s="764"/>
      <c r="AA15" s="764"/>
      <c r="AB15" s="764"/>
      <c r="AC15" s="764"/>
      <c r="AD15" s="764"/>
      <c r="AE15" s="764"/>
      <c r="AF15" s="764"/>
      <c r="AG15" s="764"/>
      <c r="AH15" s="764"/>
      <c r="AI15" s="764"/>
      <c r="AJ15" s="764"/>
      <c r="AK15" s="764"/>
      <c r="AL15" s="764"/>
      <c r="AM15" s="764"/>
      <c r="AN15" s="764"/>
      <c r="AO15" s="764"/>
      <c r="AP15" s="764"/>
      <c r="AQ15" s="764"/>
      <c r="AR15" s="764"/>
      <c r="AS15" s="764"/>
      <c r="AT15" s="764"/>
      <c r="AU15" s="764"/>
    </row>
    <row r="16" spans="1:47" s="768" customFormat="1" x14ac:dyDescent="0.35">
      <c r="A16" s="764"/>
      <c r="B16" s="771"/>
      <c r="C16" s="118"/>
      <c r="D16" s="774"/>
      <c r="E16" s="771"/>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4"/>
      <c r="AD16" s="764"/>
      <c r="AE16" s="764"/>
      <c r="AF16" s="764"/>
      <c r="AG16" s="764"/>
      <c r="AH16" s="764"/>
      <c r="AI16" s="764"/>
      <c r="AJ16" s="764"/>
      <c r="AK16" s="764"/>
      <c r="AL16" s="764"/>
      <c r="AM16" s="764"/>
      <c r="AN16" s="764"/>
      <c r="AO16" s="764"/>
      <c r="AP16" s="764"/>
      <c r="AQ16" s="764"/>
      <c r="AR16" s="764"/>
      <c r="AS16" s="764"/>
      <c r="AT16" s="764"/>
      <c r="AU16" s="764"/>
    </row>
    <row r="17" spans="1:47" s="776" customFormat="1" ht="26.15" customHeight="1" x14ac:dyDescent="0.35">
      <c r="A17" s="30"/>
      <c r="B17" s="771"/>
      <c r="C17" s="770" t="s">
        <v>4</v>
      </c>
      <c r="D17" s="775"/>
      <c r="E17" s="771"/>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row>
    <row r="18" spans="1:47" s="776" customFormat="1" x14ac:dyDescent="0.35">
      <c r="A18" s="30"/>
      <c r="B18" s="771"/>
      <c r="C18" s="118"/>
      <c r="D18" s="775"/>
      <c r="E18" s="771"/>
      <c r="F18" s="30"/>
      <c r="G18" s="777"/>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row>
    <row r="19" spans="1:47" s="776" customFormat="1" ht="15" customHeight="1" x14ac:dyDescent="0.35">
      <c r="A19" s="30"/>
      <c r="B19" s="771"/>
      <c r="C19" s="778" t="s">
        <v>6</v>
      </c>
      <c r="D19" s="779"/>
      <c r="E19" s="780"/>
      <c r="F19" s="30"/>
      <c r="G19" s="777"/>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row>
    <row r="20" spans="1:47" s="776" customFormat="1" ht="15" customHeight="1" x14ac:dyDescent="0.35">
      <c r="A20" s="30"/>
      <c r="B20" s="771"/>
      <c r="C20" s="779" t="s">
        <v>5</v>
      </c>
      <c r="D20" s="716"/>
      <c r="E20" s="781">
        <f>IF(C18="No (model will use default)","",D20)</f>
        <v>0</v>
      </c>
      <c r="F20" s="30"/>
      <c r="G20" s="777"/>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row>
    <row r="21" spans="1:47" s="776" customFormat="1" ht="26.15" customHeight="1" x14ac:dyDescent="0.35">
      <c r="A21" s="30"/>
      <c r="B21" s="771"/>
      <c r="C21" s="770" t="s">
        <v>1075</v>
      </c>
      <c r="D21" s="775"/>
      <c r="E21" s="771"/>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row>
    <row r="22" spans="1:47" s="776" customFormat="1" x14ac:dyDescent="0.35">
      <c r="A22" s="30"/>
      <c r="B22" s="771"/>
      <c r="C22" s="120"/>
      <c r="D22" s="775"/>
      <c r="E22" s="775"/>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row>
    <row r="23" spans="1:47" s="776" customFormat="1" ht="17.25" customHeight="1" x14ac:dyDescent="0.35">
      <c r="A23" s="30"/>
      <c r="B23" s="771"/>
      <c r="C23" s="778" t="s">
        <v>1076</v>
      </c>
      <c r="D23" s="778"/>
      <c r="E23" s="782"/>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row>
    <row r="24" spans="1:47" s="776" customFormat="1" ht="17.25" customHeight="1" x14ac:dyDescent="0.35">
      <c r="A24" s="30"/>
      <c r="B24" s="771"/>
      <c r="C24" s="779" t="s">
        <v>7</v>
      </c>
      <c r="D24" s="716"/>
      <c r="E24" s="783"/>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row>
    <row r="25" spans="1:47" s="776" customFormat="1" ht="43" customHeight="1" x14ac:dyDescent="0.35">
      <c r="A25" s="30"/>
      <c r="B25" s="771"/>
      <c r="C25" s="784" t="s">
        <v>481</v>
      </c>
      <c r="D25" s="775"/>
      <c r="E25" s="77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row>
    <row r="26" spans="1:47" s="30" customFormat="1" x14ac:dyDescent="0.35">
      <c r="B26" s="771"/>
      <c r="C26" s="120"/>
      <c r="D26" s="775"/>
      <c r="E26" s="779"/>
    </row>
    <row r="27" spans="1:47" s="30" customFormat="1" ht="42" customHeight="1" x14ac:dyDescent="0.35">
      <c r="B27" s="771"/>
      <c r="C27" s="772" t="s">
        <v>8</v>
      </c>
      <c r="D27" s="772"/>
      <c r="E27" s="779"/>
    </row>
    <row r="28" spans="1:47" s="30" customFormat="1" x14ac:dyDescent="0.35">
      <c r="B28" s="771"/>
      <c r="C28" s="118"/>
      <c r="D28" s="775"/>
      <c r="E28" s="775"/>
    </row>
    <row r="29" spans="1:47" s="30" customFormat="1" x14ac:dyDescent="0.35">
      <c r="B29" s="771"/>
      <c r="C29" s="785" t="s">
        <v>10</v>
      </c>
      <c r="D29" s="785"/>
      <c r="E29" s="771"/>
    </row>
    <row r="30" spans="1:47" s="30" customFormat="1" x14ac:dyDescent="0.35">
      <c r="B30" s="771"/>
      <c r="C30" s="779" t="s">
        <v>9</v>
      </c>
      <c r="D30" s="122"/>
      <c r="E30" s="775"/>
    </row>
    <row r="31" spans="1:47" s="761" customFormat="1" ht="26.15" customHeight="1" x14ac:dyDescent="0.35">
      <c r="B31" s="786"/>
      <c r="C31" s="772" t="s">
        <v>1040</v>
      </c>
      <c r="D31" s="786"/>
      <c r="E31" s="786"/>
    </row>
    <row r="32" spans="1:47" s="761" customFormat="1" x14ac:dyDescent="0.35">
      <c r="B32" s="786"/>
      <c r="C32" s="261"/>
      <c r="D32" s="786"/>
      <c r="E32" s="786"/>
    </row>
    <row r="33" spans="2:5" s="761" customFormat="1" ht="26.15" customHeight="1" x14ac:dyDescent="0.35">
      <c r="B33" s="786"/>
      <c r="C33" s="770" t="s">
        <v>1041</v>
      </c>
      <c r="D33" s="786"/>
      <c r="E33" s="786"/>
    </row>
    <row r="34" spans="2:5" s="761" customFormat="1" x14ac:dyDescent="0.35">
      <c r="B34" s="786"/>
      <c r="C34" s="262"/>
      <c r="D34" s="786"/>
      <c r="E34" s="786"/>
    </row>
    <row r="35" spans="2:5" s="761" customFormat="1" ht="26.15" customHeight="1" x14ac:dyDescent="0.35">
      <c r="B35" s="786"/>
      <c r="C35" s="770" t="s">
        <v>1042</v>
      </c>
      <c r="D35" s="786"/>
      <c r="E35" s="786"/>
    </row>
    <row r="36" spans="2:5" s="761" customFormat="1" x14ac:dyDescent="0.35">
      <c r="B36" s="786"/>
      <c r="C36" s="263"/>
      <c r="D36" s="786"/>
      <c r="E36" s="786"/>
    </row>
    <row r="37" spans="2:5" s="761" customFormat="1" x14ac:dyDescent="0.3">
      <c r="B37" s="786"/>
      <c r="C37" s="778" t="s">
        <v>1076</v>
      </c>
      <c r="D37" s="786"/>
      <c r="E37" s="786"/>
    </row>
    <row r="38" spans="2:5" s="761" customFormat="1" x14ac:dyDescent="0.35">
      <c r="B38" s="786"/>
      <c r="C38" s="779" t="s">
        <v>488</v>
      </c>
      <c r="D38" s="260"/>
      <c r="E38" s="783">
        <f>IF(C36="No (model will use default)",-20,D38)</f>
        <v>0</v>
      </c>
    </row>
    <row r="39" spans="2:5" s="761" customFormat="1" ht="42.65" customHeight="1" x14ac:dyDescent="0.35">
      <c r="B39" s="786"/>
      <c r="C39" s="772" t="s">
        <v>1043</v>
      </c>
      <c r="D39" s="786"/>
      <c r="E39" s="786"/>
    </row>
    <row r="40" spans="2:5" s="761" customFormat="1" x14ac:dyDescent="0.35">
      <c r="B40" s="786"/>
      <c r="C40" s="263"/>
      <c r="D40" s="786"/>
      <c r="E40" s="786"/>
    </row>
    <row r="41" spans="2:5" s="761" customFormat="1" x14ac:dyDescent="0.35">
      <c r="B41" s="787"/>
      <c r="C41" s="787"/>
      <c r="D41" s="787"/>
      <c r="E41" s="787"/>
    </row>
    <row r="42" spans="2:5" s="761" customFormat="1" x14ac:dyDescent="0.35"/>
    <row r="43" spans="2:5" s="761" customFormat="1" x14ac:dyDescent="0.35"/>
    <row r="44" spans="2:5" s="761" customFormat="1" x14ac:dyDescent="0.35"/>
    <row r="45" spans="2:5" s="761" customFormat="1" x14ac:dyDescent="0.35"/>
    <row r="46" spans="2:5" s="761" customFormat="1" x14ac:dyDescent="0.35"/>
    <row r="47" spans="2:5" s="761" customFormat="1" x14ac:dyDescent="0.35"/>
    <row r="48" spans="2:5" s="761" customFormat="1" x14ac:dyDescent="0.35"/>
    <row r="49" s="761" customFormat="1" x14ac:dyDescent="0.35"/>
    <row r="50" s="761" customFormat="1" x14ac:dyDescent="0.35"/>
    <row r="51" s="761" customFormat="1" x14ac:dyDescent="0.35"/>
    <row r="52" s="761" customFormat="1" x14ac:dyDescent="0.35"/>
    <row r="53" s="761" customFormat="1" x14ac:dyDescent="0.35"/>
    <row r="54" s="761" customFormat="1" x14ac:dyDescent="0.35"/>
    <row r="55" s="761" customFormat="1" x14ac:dyDescent="0.35"/>
    <row r="56" s="761" customFormat="1" x14ac:dyDescent="0.35"/>
    <row r="57" s="761" customFormat="1" x14ac:dyDescent="0.35"/>
    <row r="58" s="761" customFormat="1" x14ac:dyDescent="0.35"/>
    <row r="59" s="761" customFormat="1" x14ac:dyDescent="0.35"/>
    <row r="60" s="761" customFormat="1" x14ac:dyDescent="0.35"/>
    <row r="61" s="761" customFormat="1" x14ac:dyDescent="0.35"/>
    <row r="62" s="761" customFormat="1" x14ac:dyDescent="0.35"/>
    <row r="63" s="761" customFormat="1" x14ac:dyDescent="0.35"/>
    <row r="64" s="761" customFormat="1" x14ac:dyDescent="0.35"/>
    <row r="65" s="761" customFormat="1" x14ac:dyDescent="0.35"/>
    <row r="66" s="761" customFormat="1" x14ac:dyDescent="0.35"/>
    <row r="67" s="761" customFormat="1" x14ac:dyDescent="0.35"/>
    <row r="68" s="761" customFormat="1" x14ac:dyDescent="0.35"/>
    <row r="69" s="761" customFormat="1" x14ac:dyDescent="0.35"/>
    <row r="70" s="761" customFormat="1" x14ac:dyDescent="0.35"/>
    <row r="71" s="761" customFormat="1" x14ac:dyDescent="0.35"/>
    <row r="72" s="761" customFormat="1" x14ac:dyDescent="0.35"/>
    <row r="73" s="761" customFormat="1" x14ac:dyDescent="0.35"/>
    <row r="74" s="761" customFormat="1" x14ac:dyDescent="0.35"/>
    <row r="75" s="761" customFormat="1" x14ac:dyDescent="0.35"/>
    <row r="76" s="761" customFormat="1" x14ac:dyDescent="0.35"/>
    <row r="77" s="761" customFormat="1" x14ac:dyDescent="0.35"/>
    <row r="78" s="761" customFormat="1" x14ac:dyDescent="0.35"/>
    <row r="79" s="761" customFormat="1" x14ac:dyDescent="0.35"/>
    <row r="80" s="761" customFormat="1" x14ac:dyDescent="0.35"/>
    <row r="81" s="761" customFormat="1" x14ac:dyDescent="0.35"/>
    <row r="82" s="761" customFormat="1" x14ac:dyDescent="0.35"/>
    <row r="83" s="761" customFormat="1" x14ac:dyDescent="0.35"/>
    <row r="84" s="761" customFormat="1" x14ac:dyDescent="0.35"/>
    <row r="85" s="761" customFormat="1" x14ac:dyDescent="0.35"/>
    <row r="86" s="761" customFormat="1" x14ac:dyDescent="0.35"/>
    <row r="87" s="761" customFormat="1" x14ac:dyDescent="0.35"/>
    <row r="88" s="761" customFormat="1" x14ac:dyDescent="0.35"/>
    <row r="89" s="761" customFormat="1" x14ac:dyDescent="0.35"/>
    <row r="90" s="761" customFormat="1" x14ac:dyDescent="0.35"/>
    <row r="91" s="761" customFormat="1" x14ac:dyDescent="0.35"/>
    <row r="92" s="761" customFormat="1" x14ac:dyDescent="0.35"/>
    <row r="93" s="761" customFormat="1" x14ac:dyDescent="0.35"/>
    <row r="94" s="761" customFormat="1" x14ac:dyDescent="0.35"/>
    <row r="95" s="761" customFormat="1" x14ac:dyDescent="0.35"/>
    <row r="96" s="761" customFormat="1" x14ac:dyDescent="0.35"/>
    <row r="97" s="761" customFormat="1" x14ac:dyDescent="0.35"/>
    <row r="98" s="761" customFormat="1" x14ac:dyDescent="0.35"/>
    <row r="99" s="761" customFormat="1" x14ac:dyDescent="0.35"/>
    <row r="100" s="761" customFormat="1" x14ac:dyDescent="0.35"/>
    <row r="101" s="761" customFormat="1" x14ac:dyDescent="0.35"/>
    <row r="102" s="761" customFormat="1" x14ac:dyDescent="0.35"/>
    <row r="103" s="761" customFormat="1" x14ac:dyDescent="0.35"/>
    <row r="104" s="761" customFormat="1" x14ac:dyDescent="0.35"/>
    <row r="105" s="761" customFormat="1" x14ac:dyDescent="0.35"/>
    <row r="106" s="761" customFormat="1" x14ac:dyDescent="0.35"/>
    <row r="107" s="761" customFormat="1" x14ac:dyDescent="0.35"/>
    <row r="108" s="761" customFormat="1" x14ac:dyDescent="0.35"/>
    <row r="109" s="761" customFormat="1" x14ac:dyDescent="0.35"/>
    <row r="110" s="761" customFormat="1" x14ac:dyDescent="0.35"/>
    <row r="111" s="761" customFormat="1" x14ac:dyDescent="0.35"/>
    <row r="112" s="761" customFormat="1" x14ac:dyDescent="0.35"/>
    <row r="113" s="761" customFormat="1" x14ac:dyDescent="0.35"/>
    <row r="114" s="761" customFormat="1" x14ac:dyDescent="0.35"/>
    <row r="115" s="761" customFormat="1" x14ac:dyDescent="0.35"/>
    <row r="116" s="761" customFormat="1" x14ac:dyDescent="0.35"/>
    <row r="117" s="761" customFormat="1" x14ac:dyDescent="0.35"/>
    <row r="118" s="761" customFormat="1" x14ac:dyDescent="0.35"/>
    <row r="119" s="761" customFormat="1" x14ac:dyDescent="0.35"/>
    <row r="120" s="761" customFormat="1" x14ac:dyDescent="0.35"/>
    <row r="121" s="761" customFormat="1" x14ac:dyDescent="0.35"/>
    <row r="122" s="761" customFormat="1" x14ac:dyDescent="0.35"/>
    <row r="123" s="761" customFormat="1" x14ac:dyDescent="0.35"/>
    <row r="124" s="761" customFormat="1" x14ac:dyDescent="0.35"/>
    <row r="125" s="761" customFormat="1" x14ac:dyDescent="0.35"/>
    <row r="126" s="761" customFormat="1" x14ac:dyDescent="0.35"/>
    <row r="127" s="761" customFormat="1" x14ac:dyDescent="0.35"/>
    <row r="128" s="761" customFormat="1" x14ac:dyDescent="0.35"/>
    <row r="129" s="761" customFormat="1" x14ac:dyDescent="0.35"/>
    <row r="130" s="761" customFormat="1" x14ac:dyDescent="0.35"/>
    <row r="131" s="761" customFormat="1" x14ac:dyDescent="0.35"/>
    <row r="132" s="761" customFormat="1" x14ac:dyDescent="0.35"/>
    <row r="133" s="761" customFormat="1" x14ac:dyDescent="0.35"/>
    <row r="134" s="761" customFormat="1" x14ac:dyDescent="0.35"/>
    <row r="135" s="761" customFormat="1" x14ac:dyDescent="0.35"/>
    <row r="136" s="761" customFormat="1" x14ac:dyDescent="0.35"/>
    <row r="137" s="761" customFormat="1" x14ac:dyDescent="0.35"/>
    <row r="138" s="761" customFormat="1" x14ac:dyDescent="0.35"/>
    <row r="139" s="761" customFormat="1" x14ac:dyDescent="0.35"/>
    <row r="140" s="761" customFormat="1" x14ac:dyDescent="0.35"/>
    <row r="141" s="761" customFormat="1" x14ac:dyDescent="0.35"/>
    <row r="142" s="761" customFormat="1" x14ac:dyDescent="0.35"/>
    <row r="143" s="761" customFormat="1" x14ac:dyDescent="0.35"/>
    <row r="144" s="761" customFormat="1" x14ac:dyDescent="0.35"/>
  </sheetData>
  <sheetProtection algorithmName="SHA-512" hashValue="KWvHYGwl1UU5nX/FZNqT9nHph8DUqxlkW0AmK8k6LVylWjS8nY3Zv2zsV+t/0sYAkECxviTEjhxPJYrnJcw3Ow==" saltValue="363gSkLpdmZD9IdAs9i4rg==" spinCount="100000" sheet="1" objects="1" scenarios="1" selectLockedCells="1"/>
  <customSheetViews>
    <customSheetView guid="{C6E026A6-065F-4BC7-8A1C-5537BAE31A06}" scale="90" showGridLines="0" showRowCol="0">
      <selection activeCell="D3" sqref="D3"/>
      <colBreaks count="2" manualBreakCount="2">
        <brk id="1" max="1048575" man="1"/>
        <brk id="9" max="1048575" man="1"/>
      </colBreaks>
      <pageMargins left="0" right="0" top="0" bottom="0" header="0" footer="0"/>
      <pageSetup scale="49" fitToWidth="0" fitToHeight="0" orientation="portrait" horizontalDpi="4294967293" r:id="rId1"/>
    </customSheetView>
    <customSheetView guid="{C1E42E27-80DF-5D46-A74B-2BA4AA86045C}" scale="90" showGridLines="0" showRowCol="0">
      <selection activeCell="C8" sqref="C8:D8"/>
      <colBreaks count="2" manualBreakCount="2">
        <brk id="1" max="1048575" man="1"/>
        <brk id="9" max="1048575" man="1"/>
      </colBreaks>
      <pageMargins left="0" right="0" top="0" bottom="0" header="0" footer="0"/>
      <pageSetup scale="49" fitToWidth="0" fitToHeight="0" orientation="portrait" horizontalDpi="4294967293" r:id="rId2"/>
    </customSheetView>
    <customSheetView guid="{487CB698-FD0E-4580-BCE5-B1F3904B4ADD}" showPageBreaks="1" topLeftCell="A7">
      <selection sqref="A1:H34"/>
      <pageMargins left="0" right="0" top="0" bottom="0" header="0" footer="0"/>
      <pageSetup orientation="portrait" horizontalDpi="4294967293" verticalDpi="0" r:id="rId3"/>
    </customSheetView>
  </customSheetViews>
  <phoneticPr fontId="14" type="noConversion"/>
  <dataValidations count="3">
    <dataValidation type="list" allowBlank="1" showInputMessage="1" showErrorMessage="1" sqref="C12" xr:uid="{BE118158-F9FE-44C6-9898-66189217C47C}">
      <formula1>DensityDrop</formula1>
    </dataValidation>
    <dataValidation type="list" allowBlank="1" showInputMessage="1" showErrorMessage="1" sqref="C14" xr:uid="{BBB619A9-098B-4173-B40C-FFCA24D63498}">
      <formula1>Glass</formula1>
    </dataValidation>
    <dataValidation type="list" allowBlank="1" showInputMessage="1" showErrorMessage="1" sqref="C10 C32" xr:uid="{BFDA6E22-EA51-4277-8324-F4A534374FB7}">
      <formula1>ParticipationDrop</formula1>
    </dataValidation>
  </dataValidations>
  <pageMargins left="0.7" right="0.7" top="0.75" bottom="0.75" header="0.3" footer="0.3"/>
  <pageSetup scale="49" fitToWidth="0" fitToHeight="0" orientation="portrait" horizontalDpi="4294967293" r:id="rId4"/>
  <colBreaks count="2" manualBreakCount="2">
    <brk id="1" max="1048575" man="1"/>
    <brk id="8"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3000000}">
          <x14:formula1>
            <xm:f>DropDowns_LookUps!$K$2:$K$3</xm:f>
          </x14:formula1>
          <xm:sqref>C28 C18</xm:sqref>
        </x14:dataValidation>
        <x14:dataValidation type="list" allowBlank="1" showInputMessage="1" showErrorMessage="1" xr:uid="{00000000-0002-0000-0100-000005000000}">
          <x14:formula1>
            <xm:f>DropDowns_LookUps!$A$2:$A$7</xm:f>
          </x14:formula1>
          <xm:sqref>C6</xm:sqref>
        </x14:dataValidation>
        <x14:dataValidation type="list" allowBlank="1" showInputMessage="1" showErrorMessage="1" xr:uid="{00000000-0002-0000-0100-000004000000}">
          <x14:formula1>
            <xm:f>DropDowns_LookUps!$G$2:$G$5</xm:f>
          </x14:formula1>
          <xm:sqref>C16 C34</xm:sqref>
        </x14:dataValidation>
        <x14:dataValidation type="list" allowBlank="1" showInputMessage="1" showErrorMessage="1" xr:uid="{00000000-0002-0000-0100-000006000000}">
          <x14:formula1>
            <xm:f>DropDowns_LookUps!$M$2:$M$3</xm:f>
          </x14:formula1>
          <xm:sqref>C22 C36</xm:sqref>
        </x14:dataValidation>
        <x14:dataValidation type="list" allowBlank="1" showInputMessage="1" showErrorMessage="1" xr:uid="{00000000-0002-0000-0100-000007000000}">
          <x14:formula1>
            <xm:f>DropDowns_LookUps!$Q$2:$Q$8</xm:f>
          </x14:formula1>
          <xm:sqref>C26 C40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33"/>
  <sheetViews>
    <sheetView topLeftCell="A170" workbookViewId="0">
      <selection activeCell="C5" sqref="C5:F5"/>
    </sheetView>
  </sheetViews>
  <sheetFormatPr defaultColWidth="8.81640625" defaultRowHeight="13" x14ac:dyDescent="0.3"/>
  <cols>
    <col min="1" max="1" width="35.1796875" style="186" customWidth="1"/>
    <col min="2" max="2" width="12.81640625" style="186" bestFit="1" customWidth="1"/>
    <col min="3" max="3" width="12.1796875" style="186" bestFit="1" customWidth="1"/>
    <col min="4" max="4" width="12.453125" style="186" bestFit="1" customWidth="1"/>
    <col min="5" max="5" width="17.81640625" style="186" bestFit="1" customWidth="1"/>
    <col min="6" max="6" width="14.81640625" style="186" bestFit="1" customWidth="1"/>
    <col min="7" max="7" width="13.453125" style="186" bestFit="1" customWidth="1"/>
    <col min="8" max="8" width="11.453125" style="186" bestFit="1" customWidth="1"/>
    <col min="9" max="9" width="10.7265625" style="186" bestFit="1" customWidth="1"/>
    <col min="10" max="10" width="10.453125" style="186" bestFit="1" customWidth="1"/>
    <col min="11" max="11" width="10.7265625" style="186" bestFit="1" customWidth="1"/>
    <col min="12" max="12" width="10.453125" style="186" bestFit="1" customWidth="1"/>
    <col min="13" max="13" width="10.7265625" style="186" bestFit="1" customWidth="1"/>
    <col min="14" max="14" width="10.453125" style="186" bestFit="1" customWidth="1"/>
    <col min="15" max="15" width="10" style="186" bestFit="1" customWidth="1"/>
    <col min="16" max="16" width="11" style="186" bestFit="1" customWidth="1"/>
    <col min="17" max="18" width="8.26953125" style="186" bestFit="1" customWidth="1"/>
    <col min="19" max="19" width="10.453125" style="186" bestFit="1" customWidth="1"/>
    <col min="20" max="16384" width="8.81640625" style="186"/>
  </cols>
  <sheetData>
    <row r="1" spans="1:8" x14ac:dyDescent="0.3">
      <c r="A1" s="186" t="s">
        <v>391</v>
      </c>
    </row>
    <row r="2" spans="1:8" x14ac:dyDescent="0.3">
      <c r="A2" s="187"/>
    </row>
    <row r="3" spans="1:8" ht="26" x14ac:dyDescent="0.3">
      <c r="A3" s="303" t="s">
        <v>392</v>
      </c>
      <c r="B3" s="304" t="s">
        <v>393</v>
      </c>
      <c r="C3" s="304" t="s">
        <v>394</v>
      </c>
      <c r="D3" s="304" t="s">
        <v>395</v>
      </c>
      <c r="E3" s="305" t="s">
        <v>396</v>
      </c>
      <c r="F3" s="305"/>
      <c r="G3" s="303" t="s">
        <v>397</v>
      </c>
      <c r="H3" s="303"/>
    </row>
    <row r="4" spans="1:8" x14ac:dyDescent="0.3">
      <c r="A4" s="303" t="s">
        <v>350</v>
      </c>
      <c r="B4" s="309">
        <v>15.1</v>
      </c>
      <c r="C4" s="306">
        <f>B4*40*52</f>
        <v>31408</v>
      </c>
      <c r="D4" s="306">
        <f t="shared" ref="D4:D10" si="0">C4*$B$13</f>
        <v>9422.4</v>
      </c>
      <c r="E4" s="307">
        <f t="shared" ref="E4:E10" si="1">D4+C4</f>
        <v>40830.400000000001</v>
      </c>
      <c r="F4" s="303"/>
      <c r="G4" s="303" t="s">
        <v>398</v>
      </c>
      <c r="H4" s="303" t="s">
        <v>399</v>
      </c>
    </row>
    <row r="5" spans="1:8" x14ac:dyDescent="0.3">
      <c r="A5" s="303" t="s">
        <v>400</v>
      </c>
      <c r="B5" s="309">
        <v>22.66</v>
      </c>
      <c r="C5" s="306">
        <f t="shared" ref="C5:C10" si="2">B5*40*52</f>
        <v>47132.799999999996</v>
      </c>
      <c r="D5" s="306">
        <f t="shared" si="0"/>
        <v>14139.839999999998</v>
      </c>
      <c r="E5" s="307">
        <f t="shared" si="1"/>
        <v>61272.639999999992</v>
      </c>
      <c r="F5" s="303"/>
      <c r="G5" s="303" t="s">
        <v>401</v>
      </c>
      <c r="H5" s="303" t="s">
        <v>399</v>
      </c>
    </row>
    <row r="6" spans="1:8" x14ac:dyDescent="0.3">
      <c r="A6" s="303" t="s">
        <v>352</v>
      </c>
      <c r="B6" s="309">
        <v>18.059999999999999</v>
      </c>
      <c r="C6" s="306">
        <f t="shared" si="2"/>
        <v>37564.799999999996</v>
      </c>
      <c r="D6" s="306">
        <f t="shared" si="0"/>
        <v>11269.439999999999</v>
      </c>
      <c r="E6" s="307">
        <f t="shared" si="1"/>
        <v>48834.239999999991</v>
      </c>
      <c r="F6" s="303"/>
      <c r="G6" s="303" t="s">
        <v>402</v>
      </c>
      <c r="H6" s="303" t="s">
        <v>399</v>
      </c>
    </row>
    <row r="7" spans="1:8" x14ac:dyDescent="0.3">
      <c r="A7" s="303" t="s">
        <v>353</v>
      </c>
      <c r="B7" s="309">
        <v>24.08</v>
      </c>
      <c r="C7" s="306">
        <f t="shared" si="2"/>
        <v>50086.399999999994</v>
      </c>
      <c r="D7" s="306">
        <f t="shared" si="0"/>
        <v>15025.919999999998</v>
      </c>
      <c r="E7" s="307">
        <f t="shared" si="1"/>
        <v>65112.319999999992</v>
      </c>
      <c r="F7" s="303"/>
      <c r="G7" s="303" t="s">
        <v>403</v>
      </c>
      <c r="H7" s="303" t="s">
        <v>399</v>
      </c>
    </row>
    <row r="8" spans="1:8" x14ac:dyDescent="0.3">
      <c r="A8" s="303" t="s">
        <v>404</v>
      </c>
      <c r="B8" s="309">
        <v>17.25</v>
      </c>
      <c r="C8" s="306">
        <f t="shared" si="2"/>
        <v>35880</v>
      </c>
      <c r="D8" s="306">
        <f t="shared" si="0"/>
        <v>10764</v>
      </c>
      <c r="E8" s="307">
        <f t="shared" si="1"/>
        <v>46644</v>
      </c>
      <c r="F8" s="303"/>
      <c r="G8" s="303" t="s">
        <v>405</v>
      </c>
      <c r="H8" s="303" t="s">
        <v>399</v>
      </c>
    </row>
    <row r="9" spans="1:8" x14ac:dyDescent="0.3">
      <c r="A9" s="303" t="s">
        <v>406</v>
      </c>
      <c r="B9" s="309">
        <v>40.86</v>
      </c>
      <c r="C9" s="306">
        <f t="shared" si="2"/>
        <v>84988.800000000003</v>
      </c>
      <c r="D9" s="306">
        <f t="shared" si="0"/>
        <v>25496.639999999999</v>
      </c>
      <c r="E9" s="307">
        <f t="shared" si="1"/>
        <v>110485.44</v>
      </c>
      <c r="F9" s="303"/>
      <c r="G9" s="303" t="s">
        <v>407</v>
      </c>
      <c r="H9" s="303" t="s">
        <v>408</v>
      </c>
    </row>
    <row r="10" spans="1:8" x14ac:dyDescent="0.3">
      <c r="A10" s="303" t="s">
        <v>409</v>
      </c>
      <c r="B10" s="309">
        <v>23.32</v>
      </c>
      <c r="C10" s="306">
        <f t="shared" si="2"/>
        <v>48505.599999999999</v>
      </c>
      <c r="D10" s="306">
        <f t="shared" si="0"/>
        <v>14551.679999999998</v>
      </c>
      <c r="E10" s="307">
        <f t="shared" si="1"/>
        <v>63057.279999999999</v>
      </c>
      <c r="F10" s="303"/>
      <c r="G10" s="303" t="s">
        <v>410</v>
      </c>
      <c r="H10" s="303" t="s">
        <v>408</v>
      </c>
    </row>
    <row r="11" spans="1:8" x14ac:dyDescent="0.3">
      <c r="A11" s="186" t="s">
        <v>538</v>
      </c>
    </row>
    <row r="13" spans="1:8" x14ac:dyDescent="0.3">
      <c r="A13" s="303" t="s">
        <v>411</v>
      </c>
      <c r="B13" s="310">
        <v>0.3</v>
      </c>
    </row>
    <row r="14" spans="1:8" x14ac:dyDescent="0.3">
      <c r="A14" s="189"/>
      <c r="B14" s="188"/>
    </row>
    <row r="15" spans="1:8" x14ac:dyDescent="0.3">
      <c r="A15" s="303" t="s">
        <v>412</v>
      </c>
      <c r="B15" s="331">
        <v>0.03</v>
      </c>
    </row>
    <row r="16" spans="1:8" x14ac:dyDescent="0.3">
      <c r="A16" s="303" t="s">
        <v>413</v>
      </c>
      <c r="B16" s="332">
        <v>0.06</v>
      </c>
    </row>
    <row r="17" spans="1:4" x14ac:dyDescent="0.3">
      <c r="A17" s="80" t="s">
        <v>414</v>
      </c>
      <c r="B17" s="333">
        <v>0</v>
      </c>
      <c r="C17" s="190"/>
      <c r="D17" s="191"/>
    </row>
    <row r="18" spans="1:4" x14ac:dyDescent="0.3">
      <c r="A18" s="80" t="s">
        <v>345</v>
      </c>
      <c r="B18" s="334">
        <v>20</v>
      </c>
      <c r="C18" s="190"/>
      <c r="D18" s="191"/>
    </row>
    <row r="19" spans="1:4" x14ac:dyDescent="0.3">
      <c r="A19" s="80" t="s">
        <v>347</v>
      </c>
      <c r="B19" s="334">
        <v>10</v>
      </c>
      <c r="C19" s="190"/>
      <c r="D19" s="191"/>
    </row>
    <row r="20" spans="1:4" x14ac:dyDescent="0.3">
      <c r="A20" s="80" t="s">
        <v>328</v>
      </c>
      <c r="B20" s="334">
        <v>8</v>
      </c>
      <c r="C20" s="190"/>
      <c r="D20" s="191"/>
    </row>
    <row r="21" spans="1:4" x14ac:dyDescent="0.3">
      <c r="A21" s="193"/>
      <c r="B21" s="328"/>
    </row>
    <row r="22" spans="1:4" x14ac:dyDescent="0.3">
      <c r="A22" s="303" t="s">
        <v>416</v>
      </c>
      <c r="B22" s="335"/>
    </row>
    <row r="23" spans="1:4" x14ac:dyDescent="0.3">
      <c r="A23" s="81" t="s">
        <v>569</v>
      </c>
      <c r="B23" s="336">
        <v>1.25</v>
      </c>
      <c r="D23" s="196"/>
    </row>
    <row r="24" spans="1:4" x14ac:dyDescent="0.3">
      <c r="A24" s="81" t="s">
        <v>570</v>
      </c>
      <c r="B24" s="336">
        <v>0.6</v>
      </c>
      <c r="D24" s="196"/>
    </row>
    <row r="25" spans="1:4" x14ac:dyDescent="0.3">
      <c r="A25" s="81" t="s">
        <v>571</v>
      </c>
      <c r="B25" s="336">
        <v>1</v>
      </c>
      <c r="D25" s="196"/>
    </row>
    <row r="26" spans="1:4" x14ac:dyDescent="0.3">
      <c r="A26" s="337" t="s">
        <v>417</v>
      </c>
      <c r="B26" s="338"/>
      <c r="D26" s="196"/>
    </row>
    <row r="27" spans="1:4" x14ac:dyDescent="0.3">
      <c r="A27" s="339" t="s">
        <v>621</v>
      </c>
      <c r="B27" s="340">
        <v>25</v>
      </c>
      <c r="D27" s="197"/>
    </row>
    <row r="28" spans="1:4" x14ac:dyDescent="0.3">
      <c r="A28" s="339" t="s">
        <v>622</v>
      </c>
      <c r="B28" s="340"/>
      <c r="D28" s="197"/>
    </row>
    <row r="29" spans="1:4" x14ac:dyDescent="0.3">
      <c r="A29" s="339" t="s">
        <v>583</v>
      </c>
      <c r="B29" s="340">
        <v>1</v>
      </c>
      <c r="D29" s="197"/>
    </row>
    <row r="30" spans="1:4" x14ac:dyDescent="0.3">
      <c r="A30" s="339" t="s">
        <v>582</v>
      </c>
      <c r="B30" s="340">
        <v>5</v>
      </c>
      <c r="D30" s="197"/>
    </row>
    <row r="31" spans="1:4" x14ac:dyDescent="0.3">
      <c r="A31" s="337" t="s">
        <v>573</v>
      </c>
      <c r="B31" s="332">
        <v>0.2</v>
      </c>
    </row>
    <row r="32" spans="1:4" x14ac:dyDescent="0.3">
      <c r="B32" s="328"/>
      <c r="C32" s="189"/>
    </row>
    <row r="33" spans="1:6" x14ac:dyDescent="0.3">
      <c r="A33" s="308" t="s">
        <v>418</v>
      </c>
      <c r="B33" s="341"/>
      <c r="D33" s="189"/>
    </row>
    <row r="34" spans="1:6" x14ac:dyDescent="0.3">
      <c r="A34" s="308" t="s">
        <v>577</v>
      </c>
      <c r="B34" s="342">
        <v>75</v>
      </c>
    </row>
    <row r="35" spans="1:6" x14ac:dyDescent="0.3">
      <c r="A35" s="308" t="s">
        <v>567</v>
      </c>
      <c r="B35" s="343">
        <f>One_Way_Trip_Long_Haul_to_MRF/60</f>
        <v>1.25</v>
      </c>
    </row>
    <row r="36" spans="1:6" x14ac:dyDescent="0.3">
      <c r="A36" s="308" t="s">
        <v>560</v>
      </c>
      <c r="B36" s="344">
        <v>0.5</v>
      </c>
    </row>
    <row r="37" spans="1:6" x14ac:dyDescent="0.3">
      <c r="A37" s="308" t="s">
        <v>568</v>
      </c>
      <c r="B37" s="343">
        <f>(B35+B36)*2</f>
        <v>3.5</v>
      </c>
    </row>
    <row r="38" spans="1:6" x14ac:dyDescent="0.3">
      <c r="A38" s="308" t="s">
        <v>576</v>
      </c>
      <c r="B38" s="345">
        <v>150</v>
      </c>
      <c r="C38" s="189"/>
    </row>
    <row r="39" spans="1:6" x14ac:dyDescent="0.3">
      <c r="A39" s="3" t="s">
        <v>468</v>
      </c>
      <c r="B39" s="346">
        <f>(B37*Haul_Cost)/Load_Limit_Rolloff/(One_Way_Trip_Long_Haul_to_MRF*2)</f>
        <v>0.23333333333333334</v>
      </c>
      <c r="F39" s="196"/>
    </row>
    <row r="40" spans="1:6" x14ac:dyDescent="0.3">
      <c r="A40" s="1"/>
      <c r="B40" s="329"/>
      <c r="F40" s="196"/>
    </row>
    <row r="41" spans="1:6" x14ac:dyDescent="0.3">
      <c r="A41" s="1"/>
      <c r="B41" s="329"/>
      <c r="F41" s="196"/>
    </row>
    <row r="42" spans="1:6" x14ac:dyDescent="0.3">
      <c r="A42" s="308" t="s">
        <v>556</v>
      </c>
      <c r="B42" s="347">
        <v>15</v>
      </c>
      <c r="C42" s="189"/>
      <c r="D42" s="189"/>
    </row>
    <row r="43" spans="1:6" x14ac:dyDescent="0.3">
      <c r="B43" s="187"/>
    </row>
    <row r="44" spans="1:6" x14ac:dyDescent="0.3">
      <c r="A44" s="303" t="s">
        <v>419</v>
      </c>
      <c r="B44" s="348">
        <v>40000</v>
      </c>
    </row>
    <row r="45" spans="1:6" x14ac:dyDescent="0.3">
      <c r="A45" s="303" t="s">
        <v>578</v>
      </c>
      <c r="B45" s="348">
        <v>60000</v>
      </c>
    </row>
    <row r="46" spans="1:6" x14ac:dyDescent="0.3">
      <c r="A46" s="303" t="s">
        <v>579</v>
      </c>
      <c r="B46" s="348">
        <v>125000</v>
      </c>
    </row>
    <row r="47" spans="1:6" x14ac:dyDescent="0.3">
      <c r="A47" s="303" t="s">
        <v>580</v>
      </c>
      <c r="B47" s="348">
        <v>250000</v>
      </c>
    </row>
    <row r="48" spans="1:6" x14ac:dyDescent="0.3">
      <c r="A48" s="303" t="s">
        <v>581</v>
      </c>
      <c r="B48" s="348">
        <v>110000</v>
      </c>
    </row>
    <row r="49" spans="1:3" x14ac:dyDescent="0.3">
      <c r="B49" s="187"/>
    </row>
    <row r="50" spans="1:3" x14ac:dyDescent="0.3">
      <c r="A50" s="303" t="s">
        <v>420</v>
      </c>
      <c r="B50" s="330">
        <f>52*5</f>
        <v>260</v>
      </c>
    </row>
    <row r="51" spans="1:3" x14ac:dyDescent="0.3">
      <c r="A51" s="303" t="s">
        <v>561</v>
      </c>
      <c r="B51" s="335">
        <f>Workdays_per_Year*8</f>
        <v>2080</v>
      </c>
    </row>
    <row r="52" spans="1:3" x14ac:dyDescent="0.3">
      <c r="B52" s="187"/>
    </row>
    <row r="53" spans="1:3" x14ac:dyDescent="0.3">
      <c r="A53" s="303" t="s">
        <v>574</v>
      </c>
      <c r="B53" s="349">
        <v>150</v>
      </c>
    </row>
    <row r="54" spans="1:3" x14ac:dyDescent="0.3">
      <c r="A54" s="303" t="s">
        <v>603</v>
      </c>
      <c r="B54" s="349">
        <v>50</v>
      </c>
    </row>
    <row r="56" spans="1:3" x14ac:dyDescent="0.3">
      <c r="A56" s="303" t="s">
        <v>584</v>
      </c>
      <c r="B56" s="360">
        <f>6/4.2</f>
        <v>1.4285714285714286</v>
      </c>
      <c r="C56" s="353" t="s">
        <v>585</v>
      </c>
    </row>
    <row r="57" spans="1:3" x14ac:dyDescent="0.3">
      <c r="A57" s="303" t="s">
        <v>586</v>
      </c>
      <c r="B57" s="340">
        <v>2.7</v>
      </c>
      <c r="C57" s="353" t="s">
        <v>587</v>
      </c>
    </row>
    <row r="58" spans="1:3" x14ac:dyDescent="0.3">
      <c r="A58" s="303" t="s">
        <v>627</v>
      </c>
      <c r="B58" s="380">
        <f>B56*B57</f>
        <v>3.8571428571428577</v>
      </c>
      <c r="C58" s="353"/>
    </row>
    <row r="59" spans="1:3" x14ac:dyDescent="0.3">
      <c r="A59" s="303" t="s">
        <v>588</v>
      </c>
      <c r="B59" s="361">
        <v>5</v>
      </c>
      <c r="C59" s="353" t="s">
        <v>589</v>
      </c>
    </row>
    <row r="60" spans="1:3" x14ac:dyDescent="0.3">
      <c r="A60" s="303" t="s">
        <v>590</v>
      </c>
      <c r="B60" s="340">
        <v>3.5</v>
      </c>
      <c r="C60" s="353" t="s">
        <v>591</v>
      </c>
    </row>
    <row r="61" spans="1:3" x14ac:dyDescent="0.3">
      <c r="A61" s="303" t="s">
        <v>628</v>
      </c>
      <c r="B61" s="380">
        <f>B59*B60</f>
        <v>17.5</v>
      </c>
      <c r="C61" s="353"/>
    </row>
    <row r="62" spans="1:3" x14ac:dyDescent="0.3">
      <c r="A62" s="303" t="s">
        <v>592</v>
      </c>
      <c r="B62" s="361">
        <v>6.67</v>
      </c>
      <c r="C62" s="353" t="s">
        <v>593</v>
      </c>
    </row>
    <row r="63" spans="1:3" x14ac:dyDescent="0.3">
      <c r="A63" s="303" t="s">
        <v>594</v>
      </c>
      <c r="B63" s="361">
        <f>200000*12/120000</f>
        <v>20</v>
      </c>
      <c r="C63" s="186" t="s">
        <v>84</v>
      </c>
    </row>
    <row r="65" spans="1:7" x14ac:dyDescent="0.3">
      <c r="A65" s="303" t="s">
        <v>597</v>
      </c>
      <c r="B65" s="345">
        <v>50000</v>
      </c>
    </row>
    <row r="68" spans="1:7" x14ac:dyDescent="0.3">
      <c r="A68" s="208"/>
      <c r="B68" s="209"/>
      <c r="C68" s="208"/>
      <c r="D68" s="208"/>
      <c r="E68" s="208"/>
      <c r="F68" s="322"/>
    </row>
    <row r="69" spans="1:7" x14ac:dyDescent="0.3">
      <c r="A69" s="199" t="s">
        <v>421</v>
      </c>
    </row>
    <row r="70" spans="1:7" x14ac:dyDescent="0.3">
      <c r="A70" s="200" t="s">
        <v>315</v>
      </c>
      <c r="B70" s="201" t="s">
        <v>422</v>
      </c>
      <c r="C70" s="202" t="s">
        <v>423</v>
      </c>
      <c r="D70" s="202" t="s">
        <v>424</v>
      </c>
      <c r="E70" s="202" t="s">
        <v>425</v>
      </c>
      <c r="F70" s="202"/>
    </row>
    <row r="71" spans="1:7" x14ac:dyDescent="0.3">
      <c r="A71" s="205" t="s">
        <v>555</v>
      </c>
      <c r="B71" s="206"/>
      <c r="C71" s="204">
        <v>2500</v>
      </c>
      <c r="D71" s="204">
        <v>10000</v>
      </c>
      <c r="E71" s="204">
        <v>50000</v>
      </c>
      <c r="F71" s="321"/>
      <c r="G71" s="366"/>
    </row>
    <row r="72" spans="1:7" x14ac:dyDescent="0.3">
      <c r="A72" s="205" t="s">
        <v>426</v>
      </c>
      <c r="B72" s="206"/>
      <c r="C72" s="204">
        <v>5000</v>
      </c>
      <c r="D72" s="204">
        <v>20000</v>
      </c>
      <c r="E72" s="204"/>
      <c r="F72" s="321"/>
    </row>
    <row r="73" spans="1:7" x14ac:dyDescent="0.3">
      <c r="A73" s="205" t="s">
        <v>318</v>
      </c>
      <c r="B73" s="206"/>
      <c r="C73" s="204">
        <f>C71/Load_Limit_Rolloff</f>
        <v>166.66666666666666</v>
      </c>
      <c r="D73" s="204">
        <f>D71/Load_Limit_Rolloff</f>
        <v>666.66666666666663</v>
      </c>
      <c r="E73" s="204">
        <f>E71/Load_Limit_Rolloff</f>
        <v>3333.3333333333335</v>
      </c>
      <c r="F73" s="321"/>
    </row>
    <row r="74" spans="1:7" x14ac:dyDescent="0.3">
      <c r="A74" s="205"/>
      <c r="B74" s="206"/>
      <c r="C74" s="204"/>
      <c r="D74" s="204"/>
      <c r="E74" s="204"/>
      <c r="F74" s="321"/>
    </row>
    <row r="75" spans="1:7" x14ac:dyDescent="0.3">
      <c r="A75" s="210" t="s">
        <v>427</v>
      </c>
      <c r="B75" s="149"/>
      <c r="C75" s="149"/>
      <c r="D75" s="149"/>
      <c r="E75" s="149"/>
      <c r="F75" s="149"/>
    </row>
    <row r="76" spans="1:7" x14ac:dyDescent="0.3">
      <c r="A76" s="211" t="s">
        <v>322</v>
      </c>
      <c r="B76" s="201"/>
      <c r="C76" s="212"/>
      <c r="D76" s="212"/>
      <c r="E76" s="212"/>
    </row>
    <row r="77" spans="1:7" x14ac:dyDescent="0.3">
      <c r="A77" s="190" t="s">
        <v>323</v>
      </c>
      <c r="B77" s="213"/>
      <c r="C77" s="214"/>
      <c r="D77" s="214"/>
      <c r="E77" s="214"/>
    </row>
    <row r="78" spans="1:7" x14ac:dyDescent="0.3">
      <c r="A78" s="190" t="s">
        <v>324</v>
      </c>
      <c r="B78" s="213"/>
      <c r="C78" s="326">
        <v>50000</v>
      </c>
      <c r="D78" s="326">
        <v>75000</v>
      </c>
      <c r="E78" s="326">
        <v>150000</v>
      </c>
    </row>
    <row r="79" spans="1:7" x14ac:dyDescent="0.3">
      <c r="A79" s="190" t="s">
        <v>428</v>
      </c>
      <c r="B79" s="201"/>
      <c r="C79" s="215">
        <f>SUM(C77:C78)</f>
        <v>50000</v>
      </c>
      <c r="D79" s="215">
        <f>SUM(D77:D78)</f>
        <v>75000</v>
      </c>
      <c r="E79" s="215">
        <f>SUM(E77:E78)</f>
        <v>150000</v>
      </c>
    </row>
    <row r="80" spans="1:7" x14ac:dyDescent="0.3">
      <c r="A80" s="211" t="s">
        <v>328</v>
      </c>
      <c r="B80" s="201"/>
      <c r="C80" s="215"/>
      <c r="D80" s="215"/>
      <c r="E80" s="215"/>
    </row>
    <row r="81" spans="1:5" x14ac:dyDescent="0.3">
      <c r="A81" s="190" t="s">
        <v>602</v>
      </c>
      <c r="B81" s="201"/>
      <c r="C81" s="217">
        <f>Skidsteer</f>
        <v>60000</v>
      </c>
      <c r="D81" s="217">
        <f>SLoader</f>
        <v>125000</v>
      </c>
      <c r="E81" s="217">
        <f>LLoader</f>
        <v>250000</v>
      </c>
    </row>
    <row r="82" spans="1:5" x14ac:dyDescent="0.3">
      <c r="A82" s="190" t="s">
        <v>331</v>
      </c>
      <c r="B82" s="201"/>
      <c r="C82" s="215">
        <f>C81</f>
        <v>60000</v>
      </c>
      <c r="D82" s="215">
        <f t="shared" ref="D82:E82" si="3">D81</f>
        <v>125000</v>
      </c>
      <c r="E82" s="215">
        <f t="shared" si="3"/>
        <v>250000</v>
      </c>
    </row>
    <row r="83" spans="1:5" x14ac:dyDescent="0.3">
      <c r="A83" s="211" t="s">
        <v>557</v>
      </c>
      <c r="B83" s="207"/>
      <c r="C83" s="215"/>
      <c r="D83" s="215"/>
      <c r="E83" s="215"/>
    </row>
    <row r="84" spans="1:5" x14ac:dyDescent="0.3">
      <c r="A84" s="190" t="s">
        <v>598</v>
      </c>
      <c r="B84" s="207"/>
      <c r="C84" s="327">
        <f>2000+20*(C71/Workdays_per_Year)</f>
        <v>2192.3076923076924</v>
      </c>
      <c r="D84" s="327">
        <f>4000+20*(D71/Workdays_per_Year)</f>
        <v>4769.2307692307695</v>
      </c>
      <c r="E84" s="327">
        <f>4000+20*(E71/Workdays_per_Year)</f>
        <v>7846.1538461538466</v>
      </c>
    </row>
    <row r="85" spans="1:5" x14ac:dyDescent="0.3">
      <c r="A85" s="190" t="s">
        <v>345</v>
      </c>
      <c r="C85" s="218">
        <f>C84*Transfer_Cost_per__sq_feet</f>
        <v>328846.15384615387</v>
      </c>
      <c r="D85" s="218">
        <f>D84*Transfer_Cost_per__sq_feet</f>
        <v>715384.61538461538</v>
      </c>
      <c r="E85" s="218">
        <f>E84*Transfer_Cost_per__sq_feet</f>
        <v>1176923.076923077</v>
      </c>
    </row>
    <row r="86" spans="1:5" x14ac:dyDescent="0.3">
      <c r="A86" s="190" t="s">
        <v>601</v>
      </c>
      <c r="C86" s="218">
        <f>C84*$B$54</f>
        <v>109615.38461538462</v>
      </c>
      <c r="D86" s="218">
        <f t="shared" ref="D86:E86" si="4">D84*$B$54</f>
        <v>238461.53846153847</v>
      </c>
      <c r="E86" s="218">
        <f t="shared" si="4"/>
        <v>392307.69230769231</v>
      </c>
    </row>
    <row r="87" spans="1:5" x14ac:dyDescent="0.3">
      <c r="A87" s="190" t="s">
        <v>558</v>
      </c>
      <c r="B87" s="201"/>
      <c r="C87" s="218">
        <f>C85+C86</f>
        <v>438461.5384615385</v>
      </c>
      <c r="D87" s="218">
        <f>D85+D86</f>
        <v>953846.15384615387</v>
      </c>
      <c r="E87" s="218">
        <f>E85+E86</f>
        <v>1569230.7692307692</v>
      </c>
    </row>
    <row r="88" spans="1:5" x14ac:dyDescent="0.3">
      <c r="A88" s="211" t="s">
        <v>599</v>
      </c>
      <c r="B88" s="201"/>
      <c r="C88" s="218"/>
      <c r="D88" s="218"/>
      <c r="E88" s="218"/>
    </row>
    <row r="89" spans="1:5" x14ac:dyDescent="0.3">
      <c r="A89" s="190" t="s">
        <v>333</v>
      </c>
      <c r="B89" s="201"/>
      <c r="C89" s="368">
        <v>2</v>
      </c>
      <c r="D89" s="368">
        <v>3</v>
      </c>
      <c r="E89" s="368">
        <v>4</v>
      </c>
    </row>
    <row r="90" spans="1:5" x14ac:dyDescent="0.3">
      <c r="A90" s="190" t="s">
        <v>415</v>
      </c>
      <c r="B90" s="213"/>
      <c r="C90" s="218">
        <f>Land_Cost_per_acre*C89</f>
        <v>0</v>
      </c>
      <c r="D90" s="218">
        <f>Land_Cost_per_acre*D89</f>
        <v>0</v>
      </c>
      <c r="E90" s="218">
        <f>Land_Cost_per_acre*E89</f>
        <v>0</v>
      </c>
    </row>
    <row r="91" spans="1:5" x14ac:dyDescent="0.3">
      <c r="A91" s="190" t="s">
        <v>596</v>
      </c>
      <c r="B91" s="201"/>
      <c r="C91" s="218">
        <f>C89*$B$65</f>
        <v>100000</v>
      </c>
      <c r="D91" s="218">
        <f t="shared" ref="D91:E91" si="5">D89*$B$65</f>
        <v>150000</v>
      </c>
      <c r="E91" s="218">
        <f t="shared" si="5"/>
        <v>200000</v>
      </c>
    </row>
    <row r="92" spans="1:5" x14ac:dyDescent="0.3">
      <c r="A92" s="190" t="s">
        <v>600</v>
      </c>
      <c r="B92" s="201"/>
      <c r="C92" s="218">
        <f>C91+C90</f>
        <v>100000</v>
      </c>
      <c r="D92" s="218">
        <f t="shared" ref="D92:E92" si="6">D91+D90</f>
        <v>150000</v>
      </c>
      <c r="E92" s="218">
        <f t="shared" si="6"/>
        <v>200000</v>
      </c>
    </row>
    <row r="93" spans="1:5" x14ac:dyDescent="0.3">
      <c r="A93" s="205" t="s">
        <v>429</v>
      </c>
      <c r="B93" s="219"/>
      <c r="C93" s="597">
        <f>C79+C82+C87+C92</f>
        <v>648461.5384615385</v>
      </c>
      <c r="D93" s="597">
        <f>D79+D82+D87+D92</f>
        <v>1303846.153846154</v>
      </c>
      <c r="E93" s="597">
        <f>E79+E82+E87+E92</f>
        <v>2169230.769230769</v>
      </c>
    </row>
    <row r="94" spans="1:5" x14ac:dyDescent="0.3">
      <c r="A94" s="190"/>
      <c r="B94" s="219"/>
      <c r="C94" s="215"/>
      <c r="D94" s="215"/>
      <c r="E94" s="215"/>
    </row>
    <row r="95" spans="1:5" x14ac:dyDescent="0.3">
      <c r="A95" s="205" t="s">
        <v>344</v>
      </c>
      <c r="B95" s="201"/>
      <c r="C95" s="220"/>
      <c r="D95" s="220"/>
      <c r="E95" s="220"/>
    </row>
    <row r="96" spans="1:5" x14ac:dyDescent="0.3">
      <c r="A96" s="190" t="s">
        <v>345</v>
      </c>
      <c r="B96" s="192">
        <f>Building_Cost_Amortisation</f>
        <v>20</v>
      </c>
      <c r="C96" s="221">
        <f>-PMT(Interest_Rate,Building_Cost_Amortisation,C87)</f>
        <v>29471.502561699774</v>
      </c>
      <c r="D96" s="221">
        <f>-PMT(Interest_Rate,Building_Cost_Amortisation,D87)</f>
        <v>64113.444169311784</v>
      </c>
      <c r="E96" s="221">
        <f>-PMT(Interest_Rate,Building_Cost_Amortisation,E87)</f>
        <v>105476.95653660969</v>
      </c>
    </row>
    <row r="97" spans="1:8" x14ac:dyDescent="0.3">
      <c r="A97" s="190" t="s">
        <v>346</v>
      </c>
      <c r="B97" s="192">
        <f>Building_Cost_Amortisation</f>
        <v>20</v>
      </c>
      <c r="C97" s="221">
        <f>-PMT(Interest_Rate,Building_Cost_Amortisation,C92)</f>
        <v>6721.570759685912</v>
      </c>
      <c r="D97" s="221">
        <f>-PMT(Interest_Rate,Building_Cost_Amortisation,D92)</f>
        <v>10082.356139528869</v>
      </c>
      <c r="E97" s="221">
        <f>-PMT(Interest_Rate,Building_Cost_Amortisation,E92)</f>
        <v>13443.141519371824</v>
      </c>
    </row>
    <row r="98" spans="1:8" x14ac:dyDescent="0.3">
      <c r="A98" s="190" t="s">
        <v>322</v>
      </c>
      <c r="B98" s="192">
        <f>Equipment_Amortisation</f>
        <v>10</v>
      </c>
      <c r="C98" s="221">
        <f>-PMT(Interest_Rate,Equipment_Amortisation,C79)</f>
        <v>5861.5253302579795</v>
      </c>
      <c r="D98" s="221">
        <f>-PMT(Interest_Rate,Equipment_Amortisation,D79)</f>
        <v>8792.2879953869688</v>
      </c>
      <c r="E98" s="221">
        <f>-PMT(Interest_Rate,Equipment_Amortisation,E79)</f>
        <v>17584.575990773938</v>
      </c>
    </row>
    <row r="99" spans="1:8" x14ac:dyDescent="0.3">
      <c r="A99" s="190" t="s">
        <v>328</v>
      </c>
      <c r="B99" s="192">
        <f>Rolling_Stock_Amortisation</f>
        <v>8</v>
      </c>
      <c r="C99" s="221">
        <f>-PMT(Interest_Rate,Rolling_Stock_Amortisation,C82)</f>
        <v>8547.383329634351</v>
      </c>
      <c r="D99" s="221">
        <f>-PMT(Interest_Rate,Rolling_Stock_Amortisation,D82)</f>
        <v>17807.048603404899</v>
      </c>
      <c r="E99" s="221">
        <f>-PMT(Interest_Rate,Rolling_Stock_Amortisation,E82)</f>
        <v>35614.097206809798</v>
      </c>
    </row>
    <row r="100" spans="1:8" x14ac:dyDescent="0.3">
      <c r="A100" s="222" t="s">
        <v>348</v>
      </c>
      <c r="B100" s="223"/>
      <c r="C100" s="224">
        <f>SUM(C96:C99)</f>
        <v>50601.981981278019</v>
      </c>
      <c r="D100" s="224">
        <f>SUM(D96:D99)</f>
        <v>100795.13690763252</v>
      </c>
      <c r="E100" s="224">
        <f>SUM(E96:E99)</f>
        <v>172118.77125356524</v>
      </c>
    </row>
    <row r="101" spans="1:8" x14ac:dyDescent="0.3">
      <c r="A101" s="222"/>
      <c r="B101" s="223"/>
      <c r="C101" s="224"/>
      <c r="D101" s="224"/>
      <c r="E101" s="224"/>
    </row>
    <row r="102" spans="1:8" x14ac:dyDescent="0.3">
      <c r="A102" s="205" t="s">
        <v>58</v>
      </c>
      <c r="B102" s="201"/>
      <c r="C102" s="204"/>
      <c r="D102" s="204"/>
      <c r="E102" s="204"/>
    </row>
    <row r="103" spans="1:8" x14ac:dyDescent="0.3">
      <c r="A103" s="190" t="s">
        <v>349</v>
      </c>
      <c r="B103" s="201"/>
      <c r="C103" s="350">
        <f>SUM(C104:C108)</f>
        <v>0.8</v>
      </c>
      <c r="D103" s="351">
        <f>SUM(D104:D108)</f>
        <v>2.5</v>
      </c>
      <c r="E103" s="351">
        <f>SUM(E104:E108)</f>
        <v>4</v>
      </c>
    </row>
    <row r="104" spans="1:8" x14ac:dyDescent="0.3">
      <c r="A104" s="216" t="s">
        <v>351</v>
      </c>
      <c r="B104" s="225"/>
      <c r="C104" s="352">
        <v>0</v>
      </c>
      <c r="D104" s="352">
        <v>0</v>
      </c>
      <c r="E104" s="352">
        <v>0</v>
      </c>
    </row>
    <row r="105" spans="1:8" x14ac:dyDescent="0.3">
      <c r="A105" s="216" t="s">
        <v>352</v>
      </c>
      <c r="B105" s="225"/>
      <c r="C105" s="352">
        <v>0.5</v>
      </c>
      <c r="D105" s="352">
        <v>1</v>
      </c>
      <c r="E105" s="352">
        <v>1</v>
      </c>
    </row>
    <row r="106" spans="1:8" x14ac:dyDescent="0.3">
      <c r="A106" s="216" t="s">
        <v>353</v>
      </c>
      <c r="B106" s="225"/>
      <c r="C106" s="352">
        <v>0.1</v>
      </c>
      <c r="D106" s="352">
        <v>0.5</v>
      </c>
      <c r="E106" s="352">
        <v>1</v>
      </c>
    </row>
    <row r="107" spans="1:8" x14ac:dyDescent="0.3">
      <c r="A107" s="216" t="s">
        <v>354</v>
      </c>
      <c r="B107" s="225"/>
      <c r="C107" s="352">
        <v>0</v>
      </c>
      <c r="D107" s="352">
        <v>0.5</v>
      </c>
      <c r="E107" s="352">
        <v>1</v>
      </c>
    </row>
    <row r="108" spans="1:8" x14ac:dyDescent="0.3">
      <c r="A108" s="216" t="s">
        <v>406</v>
      </c>
      <c r="B108" s="225"/>
      <c r="C108" s="352">
        <v>0.2</v>
      </c>
      <c r="D108" s="352">
        <v>0.5</v>
      </c>
      <c r="E108" s="352">
        <v>1</v>
      </c>
    </row>
    <row r="109" spans="1:8" x14ac:dyDescent="0.3">
      <c r="A109" s="190" t="s">
        <v>356</v>
      </c>
      <c r="B109" s="226"/>
      <c r="C109" s="227">
        <f>C104*DriverWages+C105*EquipOperatorWages+C106*MaintenaeWages+C108*MgmtWages+C107*ScaleClericalWages</f>
        <v>53025.440000000002</v>
      </c>
      <c r="D109" s="227">
        <f>D104*DriverWages+D105*EquipOperatorWages+D106*MaintenaeWages+D108*MgmtWages+D107*ScaleClericalWages</f>
        <v>159955.12</v>
      </c>
      <c r="E109" s="227">
        <f>E104*DriverWages+E105*EquipOperatorWages+E106*MaintenaeWages+E108*MgmtWages+E107*ScaleClericalWages</f>
        <v>271076</v>
      </c>
    </row>
    <row r="110" spans="1:8" x14ac:dyDescent="0.3">
      <c r="A110" s="190" t="s">
        <v>358</v>
      </c>
      <c r="B110" s="226"/>
      <c r="C110" s="227">
        <f>C84*(Building_Utility+Building_Maintenance)</f>
        <v>4055.7692307692309</v>
      </c>
      <c r="D110" s="227">
        <f>D84*(Building_Utility+Building_Maintenance)</f>
        <v>8823.0769230769238</v>
      </c>
      <c r="E110" s="227">
        <f>E84*(Building_Utility+Building_Maintenance)</f>
        <v>14515.384615384617</v>
      </c>
    </row>
    <row r="111" spans="1:8" x14ac:dyDescent="0.3">
      <c r="A111" s="190" t="s">
        <v>359</v>
      </c>
      <c r="B111" s="226"/>
      <c r="C111" s="227">
        <f>C71*$B$25</f>
        <v>2500</v>
      </c>
      <c r="D111" s="227">
        <f>D71*$B$25</f>
        <v>10000</v>
      </c>
      <c r="E111" s="227">
        <f>E71*$B$25</f>
        <v>50000</v>
      </c>
      <c r="H111" s="235"/>
    </row>
    <row r="112" spans="1:8" x14ac:dyDescent="0.3">
      <c r="A112" s="190" t="s">
        <v>360</v>
      </c>
      <c r="B112" s="203">
        <f>Tax_Rate</f>
        <v>0.06</v>
      </c>
      <c r="C112" s="227">
        <f>Tax_Rate*(C97+C96)</f>
        <v>2171.584399283141</v>
      </c>
      <c r="D112" s="227">
        <f>Tax_Rate*(D97+D96)</f>
        <v>4451.7480185304394</v>
      </c>
      <c r="E112" s="227">
        <f>Tax_Rate*(E97+E96)</f>
        <v>7135.2058833588908</v>
      </c>
    </row>
    <row r="113" spans="1:10" x14ac:dyDescent="0.3">
      <c r="A113" s="190" t="s">
        <v>620</v>
      </c>
      <c r="B113" s="201"/>
      <c r="C113" s="220">
        <f>C71*$B$29</f>
        <v>2500</v>
      </c>
      <c r="D113" s="220">
        <f>D71*$B$29</f>
        <v>10000</v>
      </c>
      <c r="E113" s="220">
        <f>E71*$B$29</f>
        <v>50000</v>
      </c>
    </row>
    <row r="114" spans="1:10" x14ac:dyDescent="0.3">
      <c r="A114" s="190" t="s">
        <v>572</v>
      </c>
      <c r="B114" s="201"/>
      <c r="C114" s="217">
        <f>$B$51*$B$59*$B$60/3</f>
        <v>12133.333333333334</v>
      </c>
      <c r="D114" s="217">
        <f>$B$51*$B$59*$B$60/2</f>
        <v>18200</v>
      </c>
      <c r="E114" s="217">
        <f>$B$51*$B$59*$B$60</f>
        <v>36400</v>
      </c>
      <c r="J114" s="196"/>
    </row>
    <row r="115" spans="1:10" x14ac:dyDescent="0.3">
      <c r="A115" s="92" t="s">
        <v>363</v>
      </c>
      <c r="B115" s="219"/>
      <c r="C115" s="224">
        <f>SUM(C109:C114)+C100</f>
        <v>126988.10894466373</v>
      </c>
      <c r="D115" s="224">
        <f>SUM(D109:D114)+D100</f>
        <v>312225.08184923988</v>
      </c>
      <c r="E115" s="224">
        <f>SUM(E109:E114)+E100</f>
        <v>601245.36175230879</v>
      </c>
      <c r="G115" s="365"/>
      <c r="H115" s="365"/>
      <c r="I115" s="365"/>
      <c r="J115" s="196"/>
    </row>
    <row r="116" spans="1:10" ht="26" x14ac:dyDescent="0.3">
      <c r="A116" s="228" t="s">
        <v>430</v>
      </c>
      <c r="B116" s="201"/>
      <c r="C116" s="221">
        <f>C115*Management_Allowance</f>
        <v>25397.621788932749</v>
      </c>
      <c r="D116" s="221">
        <f>D115*Management_Allowance</f>
        <v>62445.016369847981</v>
      </c>
      <c r="E116" s="221">
        <f>E115*Management_Allowance</f>
        <v>120249.07235046176</v>
      </c>
      <c r="F116" s="323"/>
    </row>
    <row r="117" spans="1:10" x14ac:dyDescent="0.3">
      <c r="A117" s="92" t="s">
        <v>431</v>
      </c>
      <c r="B117" s="219"/>
      <c r="C117" s="224">
        <f>SUM(C115:C116)</f>
        <v>152385.73073359649</v>
      </c>
      <c r="D117" s="224">
        <f>SUM(D115:D116)</f>
        <v>374670.09821908787</v>
      </c>
      <c r="E117" s="224">
        <f>SUM(E115:E116)</f>
        <v>721494.43410277052</v>
      </c>
      <c r="F117" s="324"/>
      <c r="H117" s="595"/>
    </row>
    <row r="118" spans="1:10" x14ac:dyDescent="0.3">
      <c r="A118" s="205" t="s">
        <v>366</v>
      </c>
      <c r="B118" s="219"/>
      <c r="C118" s="229">
        <f>C117/C71</f>
        <v>60.954292293438591</v>
      </c>
      <c r="D118" s="229">
        <f>D117/D71</f>
        <v>37.467009821908789</v>
      </c>
      <c r="E118" s="229">
        <f>E117/E71</f>
        <v>14.429888682055411</v>
      </c>
      <c r="F118" s="325"/>
    </row>
    <row r="119" spans="1:10" x14ac:dyDescent="0.3">
      <c r="A119" s="205"/>
      <c r="B119" s="219"/>
      <c r="C119" s="219"/>
      <c r="D119" s="229"/>
      <c r="E119" s="229"/>
      <c r="F119" s="229"/>
      <c r="H119" s="596"/>
    </row>
    <row r="120" spans="1:10" x14ac:dyDescent="0.3">
      <c r="A120" s="205" t="s">
        <v>991</v>
      </c>
      <c r="B120" s="219"/>
      <c r="C120" s="219"/>
      <c r="D120" s="229"/>
      <c r="E120" s="229"/>
      <c r="F120" s="229"/>
    </row>
    <row r="121" spans="1:10" x14ac:dyDescent="0.3">
      <c r="A121" s="592" t="s">
        <v>995</v>
      </c>
      <c r="B121" s="591"/>
      <c r="D121" s="365">
        <f>D71-C71</f>
        <v>7500</v>
      </c>
      <c r="E121" s="365">
        <f>E71-D71</f>
        <v>40000</v>
      </c>
      <c r="F121" s="229"/>
      <c r="H121" s="235"/>
      <c r="I121" s="235"/>
    </row>
    <row r="122" spans="1:10" x14ac:dyDescent="0.3">
      <c r="A122" s="592" t="s">
        <v>993</v>
      </c>
      <c r="B122" s="591"/>
      <c r="C122" s="229"/>
      <c r="D122" s="370">
        <f>D118-C118</f>
        <v>-23.487282471529802</v>
      </c>
      <c r="E122" s="370">
        <f>E118-D118</f>
        <v>-23.037121139853376</v>
      </c>
      <c r="F122" s="229"/>
      <c r="H122" s="235"/>
      <c r="I122" s="235"/>
    </row>
    <row r="123" spans="1:10" x14ac:dyDescent="0.3">
      <c r="A123" s="592" t="s">
        <v>996</v>
      </c>
      <c r="B123" s="591"/>
      <c r="D123" s="593">
        <f>D122/D121</f>
        <v>-3.1316376628706404E-3</v>
      </c>
      <c r="E123" s="594">
        <f>E122/E121</f>
        <v>-5.7592802849633438E-4</v>
      </c>
      <c r="F123" s="229"/>
      <c r="H123" s="235"/>
      <c r="I123" s="235"/>
    </row>
    <row r="124" spans="1:10" x14ac:dyDescent="0.3">
      <c r="A124" s="592" t="s">
        <v>997</v>
      </c>
      <c r="B124" s="591"/>
      <c r="D124" s="596">
        <f>D118-D$71*D123</f>
        <v>68.783386450615197</v>
      </c>
      <c r="E124" s="596">
        <f>E118-E$71*E123</f>
        <v>43.226290106872128</v>
      </c>
      <c r="F124" s="229"/>
      <c r="H124" s="235"/>
      <c r="I124" s="235"/>
    </row>
    <row r="125" spans="1:10" x14ac:dyDescent="0.3">
      <c r="A125" s="592"/>
      <c r="B125" s="591"/>
      <c r="C125" s="603"/>
      <c r="D125" s="603"/>
      <c r="E125" s="603"/>
      <c r="F125" s="229"/>
      <c r="H125" s="235"/>
      <c r="I125" s="235"/>
    </row>
    <row r="126" spans="1:10" x14ac:dyDescent="0.3">
      <c r="A126" s="592" t="s">
        <v>998</v>
      </c>
      <c r="B126" s="591"/>
      <c r="D126" s="730">
        <f>D93-C93</f>
        <v>655384.61538461549</v>
      </c>
      <c r="E126" s="730">
        <f>E93-D93</f>
        <v>865384.61538461503</v>
      </c>
      <c r="F126" s="229"/>
      <c r="H126" s="235"/>
      <c r="I126" s="235"/>
    </row>
    <row r="127" spans="1:10" x14ac:dyDescent="0.3">
      <c r="A127" s="592" t="s">
        <v>999</v>
      </c>
      <c r="B127" s="591"/>
      <c r="D127" s="729">
        <f>D126/D121</f>
        <v>87.384615384615401</v>
      </c>
      <c r="E127" s="729">
        <f>E126/E121</f>
        <v>21.634615384615376</v>
      </c>
      <c r="F127" s="229"/>
      <c r="H127" s="235"/>
      <c r="I127" s="235"/>
    </row>
    <row r="128" spans="1:10" x14ac:dyDescent="0.3">
      <c r="A128" s="592" t="s">
        <v>1000</v>
      </c>
      <c r="B128" s="591"/>
      <c r="D128" s="729">
        <f>D93-D$71*D127</f>
        <v>430000</v>
      </c>
      <c r="E128" s="729">
        <f>E93-E$71*E127</f>
        <v>1087500.0000000002</v>
      </c>
      <c r="F128" s="229"/>
      <c r="H128" s="235"/>
      <c r="I128" s="235"/>
    </row>
    <row r="129" spans="1:9" x14ac:dyDescent="0.3">
      <c r="A129" s="592"/>
      <c r="B129" s="591"/>
      <c r="F129" s="229"/>
      <c r="H129" s="235"/>
      <c r="I129" s="235"/>
    </row>
    <row r="130" spans="1:9" x14ac:dyDescent="0.3">
      <c r="A130" s="592"/>
      <c r="B130" s="591"/>
      <c r="C130" s="600"/>
      <c r="D130" s="601"/>
      <c r="E130" s="601"/>
      <c r="F130" s="229"/>
      <c r="H130" s="235"/>
      <c r="I130" s="235"/>
    </row>
    <row r="131" spans="1:9" x14ac:dyDescent="0.3">
      <c r="A131" s="592"/>
      <c r="B131" s="591"/>
      <c r="F131" s="229"/>
      <c r="H131" s="235"/>
      <c r="I131" s="235"/>
    </row>
    <row r="132" spans="1:9" x14ac:dyDescent="0.3">
      <c r="A132" s="592"/>
      <c r="B132" s="591"/>
      <c r="D132" s="235"/>
      <c r="E132" s="235"/>
      <c r="F132" s="229"/>
      <c r="H132" s="235"/>
      <c r="I132" s="235"/>
    </row>
    <row r="133" spans="1:9" x14ac:dyDescent="0.3">
      <c r="A133" s="208"/>
      <c r="B133" s="209"/>
      <c r="C133" s="208"/>
      <c r="D133" s="208"/>
      <c r="E133" s="208"/>
      <c r="F133" s="229"/>
      <c r="G133" s="229"/>
    </row>
    <row r="134" spans="1:9" x14ac:dyDescent="0.3">
      <c r="A134" s="199" t="s">
        <v>432</v>
      </c>
    </row>
    <row r="135" spans="1:9" x14ac:dyDescent="0.3">
      <c r="A135" s="200" t="s">
        <v>315</v>
      </c>
      <c r="B135" s="201" t="s">
        <v>422</v>
      </c>
      <c r="C135" s="202" t="s">
        <v>563</v>
      </c>
      <c r="D135" s="202" t="s">
        <v>564</v>
      </c>
      <c r="E135" s="202" t="s">
        <v>565</v>
      </c>
    </row>
    <row r="136" spans="1:9" x14ac:dyDescent="0.3">
      <c r="A136" s="205" t="s">
        <v>555</v>
      </c>
      <c r="B136" s="206"/>
      <c r="C136" s="204">
        <v>20000</v>
      </c>
      <c r="D136" s="204">
        <v>50000</v>
      </c>
      <c r="E136" s="204">
        <v>75000</v>
      </c>
    </row>
    <row r="137" spans="1:9" x14ac:dyDescent="0.3">
      <c r="A137" s="205" t="s">
        <v>566</v>
      </c>
      <c r="B137" s="206"/>
      <c r="C137" s="204">
        <v>10000</v>
      </c>
      <c r="D137" s="204">
        <f>C138</f>
        <v>30000</v>
      </c>
      <c r="E137" s="204">
        <f>D138</f>
        <v>65000</v>
      </c>
    </row>
    <row r="138" spans="1:9" x14ac:dyDescent="0.3">
      <c r="A138" s="205" t="s">
        <v>426</v>
      </c>
      <c r="B138" s="206"/>
      <c r="C138" s="204">
        <v>30000</v>
      </c>
      <c r="D138" s="204">
        <v>65000</v>
      </c>
      <c r="E138" s="204"/>
    </row>
    <row r="140" spans="1:9" x14ac:dyDescent="0.3">
      <c r="A140" s="210" t="s">
        <v>546</v>
      </c>
      <c r="B140" s="149"/>
      <c r="C140" s="149"/>
      <c r="D140" s="149"/>
      <c r="E140" s="149"/>
    </row>
    <row r="141" spans="1:9" x14ac:dyDescent="0.3">
      <c r="A141" s="211" t="s">
        <v>322</v>
      </c>
      <c r="B141" s="201"/>
      <c r="C141" s="212"/>
      <c r="D141" s="212"/>
      <c r="E141" s="212"/>
    </row>
    <row r="142" spans="1:9" x14ac:dyDescent="0.3">
      <c r="A142" s="190" t="s">
        <v>324</v>
      </c>
      <c r="B142" s="213"/>
      <c r="C142" s="214">
        <v>150000</v>
      </c>
      <c r="D142" s="214">
        <v>150000</v>
      </c>
      <c r="E142" s="214">
        <v>150000</v>
      </c>
    </row>
    <row r="143" spans="1:9" x14ac:dyDescent="0.3">
      <c r="A143" s="195" t="s">
        <v>326</v>
      </c>
      <c r="B143" s="213"/>
      <c r="C143" s="214">
        <v>7000000</v>
      </c>
      <c r="D143" s="214">
        <v>15000000</v>
      </c>
      <c r="E143" s="214">
        <v>20000000</v>
      </c>
    </row>
    <row r="144" spans="1:9" x14ac:dyDescent="0.3">
      <c r="A144" s="190" t="s">
        <v>327</v>
      </c>
      <c r="B144" s="201"/>
      <c r="C144" s="215">
        <f>SUM(C142:C143)</f>
        <v>7150000</v>
      </c>
      <c r="D144" s="215">
        <f t="shared" ref="D144:E144" si="7">SUM(D142:D143)</f>
        <v>15150000</v>
      </c>
      <c r="E144" s="215">
        <f t="shared" si="7"/>
        <v>20150000</v>
      </c>
    </row>
    <row r="145" spans="1:5" x14ac:dyDescent="0.3">
      <c r="A145" s="211" t="s">
        <v>328</v>
      </c>
      <c r="B145" s="201"/>
      <c r="C145" s="215"/>
      <c r="D145" s="215"/>
      <c r="E145" s="215"/>
    </row>
    <row r="146" spans="1:5" x14ac:dyDescent="0.3">
      <c r="A146" s="216" t="s">
        <v>419</v>
      </c>
      <c r="B146" s="201"/>
      <c r="C146" s="379">
        <v>1</v>
      </c>
      <c r="D146" s="379">
        <v>2</v>
      </c>
      <c r="E146" s="379">
        <v>4</v>
      </c>
    </row>
    <row r="147" spans="1:5" x14ac:dyDescent="0.3">
      <c r="A147" s="216" t="s">
        <v>578</v>
      </c>
      <c r="B147" s="201"/>
      <c r="C147" s="379">
        <v>0</v>
      </c>
      <c r="D147" s="379">
        <v>0</v>
      </c>
      <c r="E147" s="379">
        <v>0</v>
      </c>
    </row>
    <row r="148" spans="1:5" x14ac:dyDescent="0.3">
      <c r="A148" s="216" t="s">
        <v>579</v>
      </c>
      <c r="B148" s="201"/>
      <c r="C148" s="379">
        <v>1</v>
      </c>
      <c r="D148" s="379">
        <v>0</v>
      </c>
      <c r="E148" s="379">
        <v>0</v>
      </c>
    </row>
    <row r="149" spans="1:5" x14ac:dyDescent="0.3">
      <c r="A149" s="216" t="s">
        <v>580</v>
      </c>
      <c r="B149" s="201"/>
      <c r="C149" s="379">
        <v>0</v>
      </c>
      <c r="D149" s="379">
        <v>1</v>
      </c>
      <c r="E149" s="379">
        <v>2</v>
      </c>
    </row>
    <row r="150" spans="1:5" x14ac:dyDescent="0.3">
      <c r="A150" s="216" t="s">
        <v>581</v>
      </c>
      <c r="B150" s="201"/>
      <c r="C150" s="379">
        <v>0</v>
      </c>
      <c r="D150" s="379">
        <v>0</v>
      </c>
      <c r="E150" s="379">
        <v>0</v>
      </c>
    </row>
    <row r="151" spans="1:5" x14ac:dyDescent="0.3">
      <c r="A151" s="190" t="s">
        <v>329</v>
      </c>
      <c r="B151" s="201"/>
      <c r="C151" s="217">
        <f>SLoader+Forklift</f>
        <v>165000</v>
      </c>
      <c r="D151" s="217">
        <f>LLoader+2*Forklift</f>
        <v>330000</v>
      </c>
      <c r="E151" s="217">
        <f>2*LLoader+4*Forklift</f>
        <v>660000</v>
      </c>
    </row>
    <row r="152" spans="1:5" x14ac:dyDescent="0.3">
      <c r="A152" s="190" t="s">
        <v>331</v>
      </c>
      <c r="B152" s="201"/>
      <c r="C152" s="215">
        <f>C146*Forklift+C147*Skidsteer+C148*SLoader+C149*LLoader+C150*Yard_Mule</f>
        <v>165000</v>
      </c>
      <c r="D152" s="215">
        <f>D146*Forklift+D147*Skidsteer+D148*SLoader+D149*LLoader+D150*Yard_Mule</f>
        <v>330000</v>
      </c>
      <c r="E152" s="215">
        <f>E146*Forklift+E147*Skidsteer+E148*SLoader+E149*LLoader+E150*Yard_Mule</f>
        <v>660000</v>
      </c>
    </row>
    <row r="153" spans="1:5" x14ac:dyDescent="0.3">
      <c r="A153" s="211" t="s">
        <v>557</v>
      </c>
      <c r="B153" s="207"/>
      <c r="C153" s="215"/>
      <c r="D153" s="215"/>
      <c r="E153" s="215"/>
    </row>
    <row r="154" spans="1:5" x14ac:dyDescent="0.3">
      <c r="A154" s="190" t="s">
        <v>598</v>
      </c>
      <c r="B154" s="207"/>
      <c r="C154" s="327">
        <v>40000</v>
      </c>
      <c r="D154" s="327">
        <v>60000</v>
      </c>
      <c r="E154" s="327">
        <v>80000</v>
      </c>
    </row>
    <row r="155" spans="1:5" x14ac:dyDescent="0.3">
      <c r="A155" s="190" t="s">
        <v>574</v>
      </c>
      <c r="C155" s="218">
        <f>Transfer_Cost_per__sq_feet</f>
        <v>150</v>
      </c>
      <c r="D155" s="218">
        <f>Transfer_Cost_per__sq_feet</f>
        <v>150</v>
      </c>
      <c r="E155" s="218">
        <f>Transfer_Cost_per__sq_feet</f>
        <v>150</v>
      </c>
    </row>
    <row r="156" spans="1:5" x14ac:dyDescent="0.3">
      <c r="A156" s="190" t="s">
        <v>601</v>
      </c>
      <c r="C156" s="218"/>
      <c r="D156" s="218"/>
      <c r="E156" s="218"/>
    </row>
    <row r="157" spans="1:5" x14ac:dyDescent="0.3">
      <c r="A157" s="190" t="s">
        <v>558</v>
      </c>
      <c r="B157" s="201"/>
      <c r="C157" s="218">
        <f>C154*C155</f>
        <v>6000000</v>
      </c>
      <c r="D157" s="218">
        <f>D154*D155</f>
        <v>9000000</v>
      </c>
      <c r="E157" s="218">
        <f>E154*E155</f>
        <v>12000000</v>
      </c>
    </row>
    <row r="158" spans="1:5" x14ac:dyDescent="0.3">
      <c r="A158" s="211" t="s">
        <v>599</v>
      </c>
      <c r="B158" s="201"/>
      <c r="C158" s="218"/>
      <c r="D158" s="218"/>
      <c r="E158" s="218"/>
    </row>
    <row r="159" spans="1:5" x14ac:dyDescent="0.3">
      <c r="A159" s="190" t="s">
        <v>333</v>
      </c>
      <c r="B159" s="201"/>
      <c r="C159" s="368">
        <v>5</v>
      </c>
      <c r="D159" s="368">
        <v>8.5</v>
      </c>
      <c r="E159" s="368">
        <v>10</v>
      </c>
    </row>
    <row r="160" spans="1:5" x14ac:dyDescent="0.3">
      <c r="A160" s="190" t="s">
        <v>415</v>
      </c>
      <c r="B160" s="201"/>
      <c r="C160" s="218">
        <f>Land_Cost_per_acre*C159</f>
        <v>0</v>
      </c>
      <c r="D160" s="218">
        <f>Land_Cost_per_acre*D159</f>
        <v>0</v>
      </c>
      <c r="E160" s="218">
        <f>Land_Cost_per_acre*E159</f>
        <v>0</v>
      </c>
    </row>
    <row r="161" spans="1:5" x14ac:dyDescent="0.3">
      <c r="A161" s="190" t="s">
        <v>596</v>
      </c>
      <c r="B161" s="201"/>
      <c r="C161" s="218">
        <f>C159*$B$65</f>
        <v>250000</v>
      </c>
      <c r="D161" s="218">
        <f t="shared" ref="D161" si="8">D159*$B$65</f>
        <v>425000</v>
      </c>
      <c r="E161" s="218">
        <f t="shared" ref="E161" si="9">E159*$B$65</f>
        <v>500000</v>
      </c>
    </row>
    <row r="162" spans="1:5" x14ac:dyDescent="0.3">
      <c r="A162" s="190" t="s">
        <v>600</v>
      </c>
      <c r="B162" s="213"/>
      <c r="C162" s="218">
        <f>C161+C160</f>
        <v>250000</v>
      </c>
      <c r="D162" s="218">
        <f t="shared" ref="D162" si="10">D161+D160</f>
        <v>425000</v>
      </c>
      <c r="E162" s="218">
        <f t="shared" ref="E162" si="11">E161+E160</f>
        <v>500000</v>
      </c>
    </row>
    <row r="163" spans="1:5" x14ac:dyDescent="0.3">
      <c r="A163" s="205" t="s">
        <v>429</v>
      </c>
      <c r="B163" s="219"/>
      <c r="C163" s="597">
        <f>C162+C157+C152+C144</f>
        <v>13565000</v>
      </c>
      <c r="D163" s="597">
        <f>D162+D157+D152+D144</f>
        <v>24905000</v>
      </c>
      <c r="E163" s="597">
        <f>E162+E157+E152+E144</f>
        <v>33310000</v>
      </c>
    </row>
    <row r="164" spans="1:5" x14ac:dyDescent="0.3">
      <c r="A164" s="190"/>
      <c r="B164" s="219"/>
      <c r="C164" s="215"/>
      <c r="D164" s="215"/>
      <c r="E164" s="215"/>
    </row>
    <row r="165" spans="1:5" x14ac:dyDescent="0.3">
      <c r="A165" s="205" t="s">
        <v>344</v>
      </c>
      <c r="B165" s="201"/>
      <c r="C165" s="220"/>
      <c r="D165" s="220"/>
      <c r="E165" s="220"/>
    </row>
    <row r="166" spans="1:5" x14ac:dyDescent="0.3">
      <c r="A166" s="190" t="s">
        <v>345</v>
      </c>
      <c r="B166" s="192">
        <f>Building_Cost_Amortisation</f>
        <v>20</v>
      </c>
      <c r="C166" s="221">
        <f>-PMT(Interest_Rate,Building_Cost_Amortisation,C157)</f>
        <v>403294.24558115477</v>
      </c>
      <c r="D166" s="221">
        <f>-PMT(Interest_Rate,Building_Cost_Amortisation,D157)</f>
        <v>604941.36837173207</v>
      </c>
      <c r="E166" s="221">
        <f>-PMT(Interest_Rate,Building_Cost_Amortisation,E157)</f>
        <v>806588.49116230954</v>
      </c>
    </row>
    <row r="167" spans="1:5" x14ac:dyDescent="0.3">
      <c r="A167" s="190" t="s">
        <v>346</v>
      </c>
      <c r="B167" s="192">
        <f>Building_Cost_Amortisation</f>
        <v>20</v>
      </c>
      <c r="C167" s="221">
        <f>-PMT(Interest_Rate,Building_Cost_Amortisation,C162)</f>
        <v>16803.926899214781</v>
      </c>
      <c r="D167" s="221">
        <f>-PMT(Interest_Rate,Building_Cost_Amortisation,D162)</f>
        <v>28566.67572866513</v>
      </c>
      <c r="E167" s="221">
        <f>-PMT(Interest_Rate,Building_Cost_Amortisation,E162)</f>
        <v>33607.853798429562</v>
      </c>
    </row>
    <row r="168" spans="1:5" x14ac:dyDescent="0.3">
      <c r="A168" s="190" t="s">
        <v>322</v>
      </c>
      <c r="B168" s="192">
        <f>Equipment_Amortisation</f>
        <v>10</v>
      </c>
      <c r="C168" s="221">
        <f>-PMT(Interest_Rate,Equipment_Amortisation,C144)</f>
        <v>838198.12222689099</v>
      </c>
      <c r="D168" s="221">
        <f>-PMT(Interest_Rate,Equipment_Amortisation,D144)</f>
        <v>1776042.1750681677</v>
      </c>
      <c r="E168" s="221">
        <f>-PMT(Interest_Rate,Equipment_Amortisation,E144)</f>
        <v>2362194.7080939654</v>
      </c>
    </row>
    <row r="169" spans="1:5" x14ac:dyDescent="0.3">
      <c r="A169" s="190" t="s">
        <v>328</v>
      </c>
      <c r="B169" s="192">
        <f>Rolling_Stock_Amortisation</f>
        <v>8</v>
      </c>
      <c r="C169" s="221">
        <f>-PMT(Interest_Rate,Rolling_Stock_Amortisation,C152)</f>
        <v>23505.304156494465</v>
      </c>
      <c r="D169" s="221">
        <f>-PMT(Interest_Rate,Rolling_Stock_Amortisation,D152)</f>
        <v>47010.60831298893</v>
      </c>
      <c r="E169" s="221">
        <f>-PMT(Interest_Rate,Rolling_Stock_Amortisation,E152)</f>
        <v>94021.216625977861</v>
      </c>
    </row>
    <row r="170" spans="1:5" x14ac:dyDescent="0.3">
      <c r="A170" s="222" t="s">
        <v>348</v>
      </c>
      <c r="B170" s="223"/>
      <c r="C170" s="224">
        <f>SUM(C166:C169)</f>
        <v>1281801.5988637551</v>
      </c>
      <c r="D170" s="224">
        <f>SUM(D166:D169)</f>
        <v>2456560.8274815539</v>
      </c>
      <c r="E170" s="224">
        <f>SUM(E166:E169)</f>
        <v>3296412.2696806821</v>
      </c>
    </row>
    <row r="172" spans="1:5" x14ac:dyDescent="0.3">
      <c r="A172" s="205" t="s">
        <v>58</v>
      </c>
      <c r="B172" s="201"/>
      <c r="C172" s="204"/>
      <c r="D172" s="204"/>
      <c r="E172" s="204"/>
    </row>
    <row r="173" spans="1:5" x14ac:dyDescent="0.3">
      <c r="A173" s="190" t="s">
        <v>349</v>
      </c>
      <c r="B173" s="201"/>
      <c r="C173" s="350">
        <f>SUM(C174:C178)</f>
        <v>15</v>
      </c>
      <c r="D173" s="351">
        <f>SUM(D174:D178)</f>
        <v>23</v>
      </c>
      <c r="E173" s="351">
        <f>SUM(E174:E178)</f>
        <v>21</v>
      </c>
    </row>
    <row r="174" spans="1:5" x14ac:dyDescent="0.3">
      <c r="A174" s="216" t="s">
        <v>350</v>
      </c>
      <c r="B174" s="225"/>
      <c r="C174" s="352">
        <v>10</v>
      </c>
      <c r="D174" s="352">
        <v>15</v>
      </c>
      <c r="E174" s="352">
        <v>11</v>
      </c>
    </row>
    <row r="175" spans="1:5" x14ac:dyDescent="0.3">
      <c r="A175" s="216" t="s">
        <v>352</v>
      </c>
      <c r="B175" s="225"/>
      <c r="C175" s="352">
        <v>2</v>
      </c>
      <c r="D175" s="352">
        <v>3</v>
      </c>
      <c r="E175" s="352">
        <v>4</v>
      </c>
    </row>
    <row r="176" spans="1:5" x14ac:dyDescent="0.3">
      <c r="A176" s="216" t="s">
        <v>353</v>
      </c>
      <c r="B176" s="225"/>
      <c r="C176" s="352">
        <v>1</v>
      </c>
      <c r="D176" s="352">
        <v>2</v>
      </c>
      <c r="E176" s="352">
        <v>3</v>
      </c>
    </row>
    <row r="177" spans="1:19" x14ac:dyDescent="0.3">
      <c r="A177" s="216" t="s">
        <v>354</v>
      </c>
      <c r="B177" s="225"/>
      <c r="C177" s="352">
        <v>1</v>
      </c>
      <c r="D177" s="352">
        <v>1</v>
      </c>
      <c r="E177" s="352">
        <v>1</v>
      </c>
    </row>
    <row r="178" spans="1:19" x14ac:dyDescent="0.3">
      <c r="A178" s="216" t="s">
        <v>406</v>
      </c>
      <c r="B178" s="225"/>
      <c r="C178" s="352">
        <v>1</v>
      </c>
      <c r="D178" s="352">
        <v>2</v>
      </c>
      <c r="E178" s="352">
        <v>2</v>
      </c>
    </row>
    <row r="179" spans="1:19" x14ac:dyDescent="0.3">
      <c r="A179" s="190" t="s">
        <v>623</v>
      </c>
      <c r="B179" s="226"/>
      <c r="C179" s="227">
        <f>C174*$E$4+C175*EquipOperatorWages+C176*MaintenaeWages+C178*MgmtWages+C177*ScaleClericalWages</f>
        <v>728214.24</v>
      </c>
      <c r="D179" s="227">
        <f>D174*$E$4+D175*EquipOperatorWages+D176*MaintenaeWages+D178*MgmtWages+D177*ScaleClericalWages</f>
        <v>1156798.24</v>
      </c>
      <c r="E179" s="227">
        <f>E174*$E$4+E175*EquipOperatorWages+E176*MaintenaeWages+E178*MgmtWages+E177*ScaleClericalWages</f>
        <v>1107423.2</v>
      </c>
    </row>
    <row r="180" spans="1:19" x14ac:dyDescent="0.3">
      <c r="A180" s="190" t="s">
        <v>357</v>
      </c>
      <c r="B180" s="226"/>
      <c r="C180" s="227">
        <v>0</v>
      </c>
      <c r="D180" s="227">
        <v>0</v>
      </c>
      <c r="E180" s="227">
        <v>0</v>
      </c>
      <c r="G180" s="190"/>
    </row>
    <row r="181" spans="1:19" x14ac:dyDescent="0.3">
      <c r="A181" s="190" t="s">
        <v>624</v>
      </c>
      <c r="B181" s="226"/>
      <c r="C181" s="227">
        <f>C154*(Building_Utility+Building_Maintenance)</f>
        <v>74000</v>
      </c>
      <c r="D181" s="227">
        <f>D154*(Building_Utility+Building_Maintenance)</f>
        <v>111000</v>
      </c>
      <c r="E181" s="227">
        <f>E154*(Building_Utility+Building_Maintenance)</f>
        <v>148000</v>
      </c>
      <c r="G181" s="190"/>
    </row>
    <row r="182" spans="1:19" x14ac:dyDescent="0.3">
      <c r="A182" s="190" t="s">
        <v>359</v>
      </c>
      <c r="B182" s="226"/>
      <c r="C182" s="227">
        <f>C136*$B$25</f>
        <v>20000</v>
      </c>
      <c r="D182" s="227">
        <f>D136*$B$25</f>
        <v>50000</v>
      </c>
      <c r="E182" s="227">
        <f>E136*$B$25</f>
        <v>75000</v>
      </c>
      <c r="G182" s="190"/>
    </row>
    <row r="183" spans="1:19" x14ac:dyDescent="0.3">
      <c r="A183" s="190" t="s">
        <v>360</v>
      </c>
      <c r="B183" s="203">
        <f>Tax_Rate</f>
        <v>0.06</v>
      </c>
      <c r="C183" s="227">
        <f>Tax_Rate*(C167+C166)</f>
        <v>25205.890348822173</v>
      </c>
      <c r="D183" s="227">
        <f>Tax_Rate*(D167+D166)</f>
        <v>38010.482646023826</v>
      </c>
      <c r="E183" s="227">
        <f>Tax_Rate*(E167+E166)</f>
        <v>50411.780697644346</v>
      </c>
      <c r="G183" s="190"/>
    </row>
    <row r="184" spans="1:19" x14ac:dyDescent="0.3">
      <c r="A184" s="190" t="s">
        <v>620</v>
      </c>
      <c r="B184" s="201"/>
      <c r="C184" s="220">
        <f>C136*Xfer_Maint</f>
        <v>100000</v>
      </c>
      <c r="D184" s="220">
        <f>D136*Xfer_Maint</f>
        <v>250000</v>
      </c>
      <c r="E184" s="220">
        <f>E136*Xfer_Maint</f>
        <v>375000</v>
      </c>
      <c r="G184" s="190"/>
    </row>
    <row r="185" spans="1:19" x14ac:dyDescent="0.3">
      <c r="A185" s="190" t="s">
        <v>626</v>
      </c>
      <c r="B185" s="201"/>
      <c r="C185" s="220">
        <f>C146*$B$58*$B$51+C147*$B$61*0.5*$B$51+C148*$B$61*0.75*$B$51+C149*$B$61*$B$51</f>
        <v>35322.857142857145</v>
      </c>
      <c r="D185" s="220">
        <f t="shared" ref="D185" si="12">D146*$B$58*$B$51+D147*$B$61*0.5*$B$51+D148*$B$61*0.75*$B$51+D149*$B$61*$B$51</f>
        <v>52445.71428571429</v>
      </c>
      <c r="E185" s="220">
        <f>E146*$B$58*$B$51+E147*$B$61*0.5*$B$51+E148*$B$61*0.75*$B$51+E149*$B$61*$B$51</f>
        <v>104891.42857142858</v>
      </c>
      <c r="G185" s="1"/>
      <c r="H185" s="275"/>
      <c r="I185" s="194"/>
      <c r="J185" s="194"/>
      <c r="K185" s="194"/>
      <c r="L185" s="194"/>
      <c r="M185" s="194"/>
      <c r="N185" s="194"/>
      <c r="O185" s="125"/>
      <c r="P185" s="194"/>
      <c r="Q185" s="125"/>
      <c r="R185" s="125"/>
      <c r="S185" s="313"/>
    </row>
    <row r="186" spans="1:19" x14ac:dyDescent="0.3">
      <c r="A186" s="190" t="s">
        <v>625</v>
      </c>
      <c r="B186" s="201"/>
      <c r="C186" s="220">
        <f>C136*$B$63*$B$62/100</f>
        <v>26680</v>
      </c>
      <c r="D186" s="220">
        <f t="shared" ref="D186:E186" si="13">D136*$B$63*$B$62/100</f>
        <v>66700</v>
      </c>
      <c r="E186" s="220">
        <f t="shared" si="13"/>
        <v>100050</v>
      </c>
      <c r="G186" s="1"/>
      <c r="H186" s="275"/>
      <c r="I186" s="194"/>
      <c r="J186" s="194"/>
      <c r="K186" s="194"/>
      <c r="L186" s="194"/>
      <c r="M186" s="194"/>
      <c r="N186" s="194"/>
      <c r="O186" s="125"/>
      <c r="P186" s="194"/>
      <c r="Q186" s="125"/>
      <c r="R186" s="125"/>
      <c r="S186" s="313"/>
    </row>
    <row r="187" spans="1:19" x14ac:dyDescent="0.3">
      <c r="A187" s="222" t="s">
        <v>629</v>
      </c>
      <c r="B187" s="201"/>
      <c r="C187" s="381">
        <f>SUM(C179:C186)</f>
        <v>1009422.9874916794</v>
      </c>
      <c r="D187" s="381">
        <f t="shared" ref="D187:E187" si="14">SUM(D179:D186)</f>
        <v>1724954.4369317382</v>
      </c>
      <c r="E187" s="381">
        <f t="shared" si="14"/>
        <v>1960776.409269073</v>
      </c>
      <c r="G187" s="1"/>
      <c r="H187" s="275"/>
      <c r="I187" s="194"/>
      <c r="J187" s="194"/>
      <c r="K187" s="194"/>
      <c r="L187" s="194"/>
      <c r="M187" s="194"/>
      <c r="N187" s="194"/>
      <c r="O187" s="125"/>
      <c r="P187" s="194"/>
      <c r="Q187" s="125"/>
      <c r="R187" s="125"/>
      <c r="S187" s="313"/>
    </row>
    <row r="188" spans="1:19" x14ac:dyDescent="0.3">
      <c r="A188" s="92" t="s">
        <v>363</v>
      </c>
      <c r="B188" s="219"/>
      <c r="C188" s="224">
        <f>C170+C187</f>
        <v>2291224.5863554347</v>
      </c>
      <c r="D188" s="224">
        <f t="shared" ref="D188:E188" si="15">SUM(D179:D185)+D170</f>
        <v>4114815.2644132921</v>
      </c>
      <c r="E188" s="224">
        <f t="shared" si="15"/>
        <v>5157138.6789497547</v>
      </c>
    </row>
    <row r="189" spans="1:19" ht="26" x14ac:dyDescent="0.3">
      <c r="A189" s="228" t="s">
        <v>430</v>
      </c>
      <c r="B189" s="201"/>
      <c r="C189" s="221">
        <f>C188*Management_Allowance</f>
        <v>458244.91727108695</v>
      </c>
      <c r="D189" s="221">
        <f>D188*Management_Allowance</f>
        <v>822963.05288265843</v>
      </c>
      <c r="E189" s="221">
        <f>E188*Management_Allowance</f>
        <v>1031427.7357899509</v>
      </c>
    </row>
    <row r="190" spans="1:19" x14ac:dyDescent="0.3">
      <c r="A190" s="92" t="s">
        <v>431</v>
      </c>
      <c r="B190" s="219"/>
      <c r="C190" s="224">
        <f>SUM(C188:C189)</f>
        <v>2749469.5036265217</v>
      </c>
      <c r="D190" s="224">
        <f>SUM(D188:D189)</f>
        <v>4937778.3172959508</v>
      </c>
      <c r="E190" s="224">
        <f>SUM(E188:E189)</f>
        <v>6188566.4147397056</v>
      </c>
    </row>
    <row r="191" spans="1:19" x14ac:dyDescent="0.3">
      <c r="A191" s="205" t="s">
        <v>366</v>
      </c>
      <c r="B191" s="219"/>
      <c r="C191" s="229">
        <f>C190/C136</f>
        <v>137.47347518132608</v>
      </c>
      <c r="D191" s="229">
        <f>D190/D136</f>
        <v>98.755566345919021</v>
      </c>
      <c r="E191" s="229">
        <f>E190/E136</f>
        <v>82.514218863196078</v>
      </c>
    </row>
    <row r="193" spans="1:13" x14ac:dyDescent="0.3">
      <c r="A193" s="205" t="s">
        <v>991</v>
      </c>
      <c r="B193" s="219"/>
      <c r="C193" s="219"/>
      <c r="D193" s="604"/>
      <c r="E193" s="604"/>
    </row>
    <row r="194" spans="1:13" x14ac:dyDescent="0.3">
      <c r="A194" s="211" t="s">
        <v>995</v>
      </c>
      <c r="B194" s="219"/>
      <c r="D194" s="365">
        <f>D136-C136</f>
        <v>30000</v>
      </c>
      <c r="E194" s="365">
        <f>E136-D136</f>
        <v>25000</v>
      </c>
    </row>
    <row r="195" spans="1:13" x14ac:dyDescent="0.3">
      <c r="A195" s="211" t="s">
        <v>993</v>
      </c>
      <c r="B195" s="219"/>
      <c r="C195" s="604"/>
      <c r="D195" s="370">
        <f>D191-C191</f>
        <v>-38.717908835407059</v>
      </c>
      <c r="E195" s="370">
        <f>E191-D191</f>
        <v>-16.241347482722944</v>
      </c>
    </row>
    <row r="196" spans="1:13" x14ac:dyDescent="0.3">
      <c r="A196" s="211" t="s">
        <v>996</v>
      </c>
      <c r="B196" s="219"/>
      <c r="D196" s="593">
        <f>D195/D194</f>
        <v>-1.2905969611802352E-3</v>
      </c>
      <c r="E196" s="593">
        <f>E195/E194</f>
        <v>-6.4965389930891774E-4</v>
      </c>
      <c r="G196" s="199" t="s">
        <v>432</v>
      </c>
    </row>
    <row r="197" spans="1:13" x14ac:dyDescent="0.3">
      <c r="A197" s="211" t="s">
        <v>997</v>
      </c>
      <c r="B197" s="219"/>
      <c r="D197" s="235">
        <f>D191-D$136*D196</f>
        <v>163.28541440493078</v>
      </c>
      <c r="E197" s="235">
        <f>E191-E$136*E196</f>
        <v>131.23826131136491</v>
      </c>
      <c r="G197" s="186" t="s">
        <v>433</v>
      </c>
      <c r="L197" s="230">
        <v>1</v>
      </c>
    </row>
    <row r="198" spans="1:13" x14ac:dyDescent="0.3">
      <c r="G198" s="200"/>
      <c r="H198" s="201" t="s">
        <v>434</v>
      </c>
      <c r="I198" s="201" t="s">
        <v>435</v>
      </c>
      <c r="J198" s="200" t="s">
        <v>436</v>
      </c>
      <c r="K198" s="200" t="s">
        <v>437</v>
      </c>
      <c r="L198" s="186" t="s">
        <v>433</v>
      </c>
      <c r="M198" s="200" t="s">
        <v>438</v>
      </c>
    </row>
    <row r="199" spans="1:13" x14ac:dyDescent="0.3">
      <c r="A199" s="592" t="s">
        <v>998</v>
      </c>
      <c r="B199" s="219"/>
      <c r="C199" s="604"/>
      <c r="D199" s="732">
        <f>D163-C163</f>
        <v>11340000</v>
      </c>
      <c r="E199" s="732">
        <f>E163-D163</f>
        <v>8405000</v>
      </c>
      <c r="G199" s="200" t="s">
        <v>439</v>
      </c>
      <c r="H199" s="201">
        <v>1</v>
      </c>
      <c r="I199" s="231">
        <v>10500</v>
      </c>
      <c r="J199" s="232">
        <v>180</v>
      </c>
      <c r="K199" s="233" t="e">
        <f>IF(Input!$D$24="",VLOOKUP(Input!$C$6,DropDowns_LookUps!$A$27:$I$33,8,FALSE), Input!$D$24 )</f>
        <v>#N/A</v>
      </c>
      <c r="L199" s="198" t="e">
        <f>K199*Revenue_Share*1.2</f>
        <v>#N/A</v>
      </c>
      <c r="M199" s="234" t="e">
        <f t="shared" ref="M199:M210" si="16">L199-J199</f>
        <v>#N/A</v>
      </c>
    </row>
    <row r="200" spans="1:13" x14ac:dyDescent="0.3">
      <c r="A200" s="592" t="s">
        <v>999</v>
      </c>
      <c r="B200" s="219"/>
      <c r="D200" s="733">
        <f>D199/D194</f>
        <v>378</v>
      </c>
      <c r="E200" s="733">
        <f>E199/E194</f>
        <v>336.2</v>
      </c>
      <c r="G200" s="200" t="s">
        <v>440</v>
      </c>
      <c r="H200" s="201">
        <v>2</v>
      </c>
      <c r="I200" s="231">
        <f>I199*2</f>
        <v>21000</v>
      </c>
      <c r="J200" s="232">
        <v>140</v>
      </c>
      <c r="K200" s="233" t="e">
        <f>IF(Input!$D$24="",VLOOKUP(Input!$C$6,DropDowns_LookUps!$A$27:$I$33,8,FALSE), Input!$D$24 )</f>
        <v>#N/A</v>
      </c>
      <c r="L200" s="198" t="e">
        <f>K200*Revenue_Share*1.2</f>
        <v>#N/A</v>
      </c>
      <c r="M200" s="234" t="e">
        <f t="shared" si="16"/>
        <v>#N/A</v>
      </c>
    </row>
    <row r="201" spans="1:13" x14ac:dyDescent="0.3">
      <c r="A201" s="592" t="s">
        <v>1000</v>
      </c>
      <c r="B201" s="219"/>
      <c r="D201" s="198">
        <f>D163-D$136*D200</f>
        <v>6005000</v>
      </c>
      <c r="E201" s="198">
        <f>E163-E$136*E200</f>
        <v>8095000</v>
      </c>
      <c r="G201" s="200" t="s">
        <v>441</v>
      </c>
      <c r="H201" s="201">
        <v>3</v>
      </c>
      <c r="I201" s="231">
        <v>22500</v>
      </c>
      <c r="J201" s="232">
        <v>146</v>
      </c>
      <c r="K201" s="233" t="e">
        <f>IF(Input!$D$24="",VLOOKUP(Input!$C$6,DropDowns_LookUps!$A$27:$I$33,8,FALSE), Input!$D$24 )</f>
        <v>#N/A</v>
      </c>
      <c r="L201" s="198" t="e">
        <f>K201*Revenue_Share*1.2</f>
        <v>#N/A</v>
      </c>
      <c r="M201" s="234" t="e">
        <f t="shared" si="16"/>
        <v>#N/A</v>
      </c>
    </row>
    <row r="202" spans="1:13" x14ac:dyDescent="0.3">
      <c r="G202" s="200" t="s">
        <v>442</v>
      </c>
      <c r="H202" s="201">
        <v>4</v>
      </c>
      <c r="I202" s="231">
        <f>I201*2</f>
        <v>45000</v>
      </c>
      <c r="J202" s="232">
        <v>116</v>
      </c>
      <c r="K202" s="233" t="e">
        <f>IF(Input!$D$24="",VLOOKUP(Input!$C$6,DropDowns_LookUps!$A$27:$I$33,8,FALSE), Input!$D$24 )</f>
        <v>#N/A</v>
      </c>
      <c r="L202" s="198" t="e">
        <f>K202*Revenue_Share*1.2</f>
        <v>#N/A</v>
      </c>
      <c r="M202" s="234" t="e">
        <f t="shared" si="16"/>
        <v>#N/A</v>
      </c>
    </row>
    <row r="203" spans="1:13" x14ac:dyDescent="0.3">
      <c r="G203" s="200" t="s">
        <v>443</v>
      </c>
      <c r="H203" s="201">
        <v>5</v>
      </c>
      <c r="I203" s="231">
        <v>22500</v>
      </c>
      <c r="J203" s="232">
        <v>139</v>
      </c>
      <c r="K203" s="233" t="e">
        <f>IF(Input!$D$24="",VLOOKUP(Input!$C$6,DropDowns_LookUps!$A$27:$I$33,8,FALSE), Input!$D$24 )</f>
        <v>#N/A</v>
      </c>
      <c r="L203" s="198" t="e">
        <f t="shared" ref="L203:L210" si="17">K203*Revenue_Share</f>
        <v>#N/A</v>
      </c>
      <c r="M203" s="234" t="e">
        <f t="shared" si="16"/>
        <v>#N/A</v>
      </c>
    </row>
    <row r="204" spans="1:13" x14ac:dyDescent="0.3">
      <c r="G204" s="200" t="s">
        <v>444</v>
      </c>
      <c r="H204" s="201">
        <v>6</v>
      </c>
      <c r="I204" s="231">
        <f>I203*2</f>
        <v>45000</v>
      </c>
      <c r="J204" s="232">
        <v>107</v>
      </c>
      <c r="K204" s="233" t="e">
        <f>IF(Input!$D$24="",VLOOKUP(Input!$C$6,DropDowns_LookUps!$A$27:$I$33,8,FALSE), Input!$D$24 )</f>
        <v>#N/A</v>
      </c>
      <c r="L204" s="198" t="e">
        <f t="shared" si="17"/>
        <v>#N/A</v>
      </c>
      <c r="M204" s="234" t="e">
        <f t="shared" si="16"/>
        <v>#N/A</v>
      </c>
    </row>
    <row r="205" spans="1:13" x14ac:dyDescent="0.3">
      <c r="G205" s="200" t="s">
        <v>445</v>
      </c>
      <c r="H205" s="201">
        <v>7</v>
      </c>
      <c r="I205" s="231">
        <v>32500</v>
      </c>
      <c r="J205" s="232">
        <v>126</v>
      </c>
      <c r="K205" s="233" t="e">
        <f>IF(Input!$D$24="",VLOOKUP(Input!$C$6,DropDowns_LookUps!$A$27:$I$33,8,FALSE), Input!$D$24 )</f>
        <v>#N/A</v>
      </c>
      <c r="L205" s="198" t="e">
        <f t="shared" si="17"/>
        <v>#N/A</v>
      </c>
      <c r="M205" s="234" t="e">
        <f t="shared" si="16"/>
        <v>#N/A</v>
      </c>
    </row>
    <row r="206" spans="1:13" x14ac:dyDescent="0.3">
      <c r="G206" s="200" t="s">
        <v>446</v>
      </c>
      <c r="H206" s="201">
        <v>8</v>
      </c>
      <c r="I206" s="231">
        <f>I205*2</f>
        <v>65000</v>
      </c>
      <c r="J206" s="232">
        <v>95</v>
      </c>
      <c r="K206" s="233" t="e">
        <f>IF(Input!$D$24="",VLOOKUP(Input!$C$6,DropDowns_LookUps!$A$27:$I$33,8,FALSE), Input!$D$24 )</f>
        <v>#N/A</v>
      </c>
      <c r="L206" s="198" t="e">
        <f t="shared" si="17"/>
        <v>#N/A</v>
      </c>
      <c r="M206" s="234" t="e">
        <f t="shared" si="16"/>
        <v>#N/A</v>
      </c>
    </row>
    <row r="207" spans="1:13" x14ac:dyDescent="0.3">
      <c r="G207" s="200" t="s">
        <v>447</v>
      </c>
      <c r="H207" s="201">
        <v>9</v>
      </c>
      <c r="I207" s="231">
        <v>52000</v>
      </c>
      <c r="J207" s="232">
        <v>103</v>
      </c>
      <c r="K207" s="233" t="e">
        <f>IF(Input!$D$24="",VLOOKUP(Input!$C$6,DropDowns_LookUps!$A$27:$I$33,8,FALSE), Input!$D$24 )</f>
        <v>#N/A</v>
      </c>
      <c r="L207" s="198" t="e">
        <f t="shared" si="17"/>
        <v>#N/A</v>
      </c>
      <c r="M207" s="234" t="e">
        <f t="shared" si="16"/>
        <v>#N/A</v>
      </c>
    </row>
    <row r="208" spans="1:13" x14ac:dyDescent="0.3">
      <c r="G208" s="200" t="s">
        <v>448</v>
      </c>
      <c r="H208" s="201">
        <v>10</v>
      </c>
      <c r="I208" s="231">
        <f>I207*2</f>
        <v>104000</v>
      </c>
      <c r="J208" s="232">
        <v>78</v>
      </c>
      <c r="K208" s="233" t="e">
        <f>IF(Input!$D$24="",VLOOKUP(Input!$C$6,DropDowns_LookUps!$A$27:$I$33,8,FALSE), Input!$D$24 )</f>
        <v>#N/A</v>
      </c>
      <c r="L208" s="198" t="e">
        <f t="shared" si="17"/>
        <v>#N/A</v>
      </c>
      <c r="M208" s="234" t="e">
        <f t="shared" si="16"/>
        <v>#N/A</v>
      </c>
    </row>
    <row r="209" spans="7:13" x14ac:dyDescent="0.3">
      <c r="G209" s="200" t="s">
        <v>449</v>
      </c>
      <c r="H209" s="201">
        <v>11</v>
      </c>
      <c r="I209" s="231">
        <v>104000</v>
      </c>
      <c r="J209" s="232">
        <v>94</v>
      </c>
      <c r="K209" s="233" t="e">
        <f>IF(Input!$D$24="",VLOOKUP(Input!$C$6,DropDowns_LookUps!$A$27:$I$33,8,FALSE), Input!$D$24 )</f>
        <v>#N/A</v>
      </c>
      <c r="L209" s="198" t="e">
        <f t="shared" si="17"/>
        <v>#N/A</v>
      </c>
      <c r="M209" s="234" t="e">
        <f t="shared" si="16"/>
        <v>#N/A</v>
      </c>
    </row>
    <row r="210" spans="7:13" x14ac:dyDescent="0.3">
      <c r="G210" s="200" t="s">
        <v>450</v>
      </c>
      <c r="H210" s="201">
        <v>12</v>
      </c>
      <c r="I210" s="231">
        <f>I209*2</f>
        <v>208000</v>
      </c>
      <c r="J210" s="232">
        <v>71</v>
      </c>
      <c r="K210" s="233" t="e">
        <f>IF(Input!$D$24="",VLOOKUP(Input!$C$6,DropDowns_LookUps!$A$27:$I$33,8,FALSE), Input!$D$24 )</f>
        <v>#N/A</v>
      </c>
      <c r="L210" s="198" t="e">
        <f t="shared" si="17"/>
        <v>#N/A</v>
      </c>
      <c r="M210" s="234" t="e">
        <f t="shared" si="16"/>
        <v>#N/A</v>
      </c>
    </row>
    <row r="212" spans="7:13" x14ac:dyDescent="0.3">
      <c r="G212" s="186" t="s">
        <v>451</v>
      </c>
      <c r="I212" s="20">
        <f>AVERAGE(I199:I200)</f>
        <v>15750</v>
      </c>
      <c r="J212" s="235">
        <f>-AVERAGE(J199:J200)</f>
        <v>-160</v>
      </c>
      <c r="M212" s="235" t="e">
        <f>AVERAGE(M199:M200)</f>
        <v>#N/A</v>
      </c>
    </row>
    <row r="213" spans="7:13" x14ac:dyDescent="0.3">
      <c r="G213" s="186" t="s">
        <v>452</v>
      </c>
      <c r="I213" s="20">
        <f>AVERAGE(I201:I202)</f>
        <v>33750</v>
      </c>
      <c r="J213" s="235">
        <f>-AVERAGE(J201:J202)</f>
        <v>-131</v>
      </c>
      <c r="M213" s="235" t="e">
        <f>AVERAGE(M201:M202)</f>
        <v>#N/A</v>
      </c>
    </row>
    <row r="214" spans="7:13" x14ac:dyDescent="0.3">
      <c r="G214" s="186" t="s">
        <v>453</v>
      </c>
      <c r="I214" s="20">
        <f>AVERAGE(I203:I204)</f>
        <v>33750</v>
      </c>
      <c r="J214" s="235">
        <f>-AVERAGE(J203:J204)</f>
        <v>-123</v>
      </c>
      <c r="M214" s="235" t="e">
        <f>AVERAGE(M203:M204)</f>
        <v>#N/A</v>
      </c>
    </row>
    <row r="215" spans="7:13" x14ac:dyDescent="0.3">
      <c r="G215" s="186" t="s">
        <v>454</v>
      </c>
      <c r="I215" s="20">
        <f>AVERAGE(I205:I206)</f>
        <v>48750</v>
      </c>
      <c r="J215" s="235">
        <f>-AVERAGE(J205:J206)</f>
        <v>-110.5</v>
      </c>
      <c r="M215" s="235" t="e">
        <f>AVERAGE(M205:M206)</f>
        <v>#N/A</v>
      </c>
    </row>
    <row r="216" spans="7:13" x14ac:dyDescent="0.3">
      <c r="G216" s="186" t="s">
        <v>455</v>
      </c>
      <c r="I216" s="20">
        <f>AVERAGE(I207:I208)</f>
        <v>78000</v>
      </c>
      <c r="J216" s="235">
        <f>-AVERAGE(J207:J208)</f>
        <v>-90.5</v>
      </c>
      <c r="M216" s="235" t="e">
        <f>AVERAGE(M207:M208)</f>
        <v>#N/A</v>
      </c>
    </row>
    <row r="217" spans="7:13" x14ac:dyDescent="0.3">
      <c r="G217" s="186" t="s">
        <v>456</v>
      </c>
      <c r="I217" s="20">
        <f>AVERAGE(I209:I210)</f>
        <v>156000</v>
      </c>
      <c r="J217" s="235">
        <f>-AVERAGE(J209:J210)</f>
        <v>-82.5</v>
      </c>
      <c r="M217" s="235" t="e">
        <f>AVERAGE(M209:M210)</f>
        <v>#N/A</v>
      </c>
    </row>
    <row r="220" spans="7:13" ht="26" x14ac:dyDescent="0.3">
      <c r="G220" s="236"/>
      <c r="H220" s="236" t="s">
        <v>457</v>
      </c>
      <c r="I220" s="237" t="s">
        <v>458</v>
      </c>
      <c r="J220" s="237" t="s">
        <v>459</v>
      </c>
    </row>
    <row r="221" spans="7:13" x14ac:dyDescent="0.3">
      <c r="G221" s="200" t="s">
        <v>439</v>
      </c>
      <c r="H221" s="238">
        <v>7.05</v>
      </c>
      <c r="I221" s="239">
        <v>11565.525</v>
      </c>
      <c r="J221" s="239">
        <v>23131.05</v>
      </c>
    </row>
    <row r="222" spans="7:13" x14ac:dyDescent="0.3">
      <c r="G222" s="200" t="s">
        <v>441</v>
      </c>
      <c r="H222" s="238">
        <v>15</v>
      </c>
      <c r="I222" s="239">
        <v>24607.5</v>
      </c>
      <c r="J222" s="239">
        <v>49215</v>
      </c>
    </row>
    <row r="223" spans="7:13" x14ac:dyDescent="0.3">
      <c r="G223" s="200" t="s">
        <v>443</v>
      </c>
      <c r="H223" s="238">
        <v>15</v>
      </c>
      <c r="I223" s="239">
        <v>24607.5</v>
      </c>
      <c r="J223" s="239">
        <v>49215</v>
      </c>
    </row>
    <row r="224" spans="7:13" x14ac:dyDescent="0.3">
      <c r="G224" s="200" t="s">
        <v>445</v>
      </c>
      <c r="H224" s="238">
        <v>22</v>
      </c>
      <c r="I224" s="239">
        <v>36091</v>
      </c>
      <c r="J224" s="239">
        <v>72182</v>
      </c>
    </row>
    <row r="225" spans="7:19" x14ac:dyDescent="0.3">
      <c r="G225" s="200" t="s">
        <v>447</v>
      </c>
      <c r="H225" s="238">
        <v>35</v>
      </c>
      <c r="I225" s="239">
        <v>57417.5</v>
      </c>
      <c r="J225" s="239">
        <v>114835</v>
      </c>
    </row>
    <row r="226" spans="7:19" x14ac:dyDescent="0.3">
      <c r="G226" s="200" t="s">
        <v>449</v>
      </c>
      <c r="H226" s="238">
        <v>70</v>
      </c>
      <c r="I226" s="239">
        <v>114835</v>
      </c>
      <c r="J226" s="239">
        <v>229670</v>
      </c>
    </row>
    <row r="229" spans="7:19" x14ac:dyDescent="0.3">
      <c r="G229" s="1" t="s">
        <v>545</v>
      </c>
      <c r="H229" s="1" t="s">
        <v>544</v>
      </c>
      <c r="I229" s="1" t="s">
        <v>575</v>
      </c>
      <c r="J229" s="153">
        <v>0.03</v>
      </c>
      <c r="K229" s="1" t="s">
        <v>322</v>
      </c>
      <c r="L229" s="153">
        <v>0.03</v>
      </c>
      <c r="M229" s="1" t="s">
        <v>546</v>
      </c>
      <c r="N229" s="153"/>
      <c r="O229" s="1"/>
      <c r="P229" s="1" t="s">
        <v>547</v>
      </c>
      <c r="Q229" s="1"/>
      <c r="R229" s="1" t="s">
        <v>548</v>
      </c>
      <c r="S229" s="1"/>
    </row>
    <row r="230" spans="7:19" x14ac:dyDescent="0.3">
      <c r="G230" s="1">
        <v>10</v>
      </c>
      <c r="H230" s="275">
        <f>G230*52*40</f>
        <v>20800</v>
      </c>
      <c r="I230" s="194">
        <v>3000000</v>
      </c>
      <c r="J230" s="194">
        <f>PMT($J$229,20,I230)</f>
        <v>-201647.12279057738</v>
      </c>
      <c r="K230" s="194">
        <v>7000000</v>
      </c>
      <c r="L230" s="194">
        <f>PMT($L$229,10,K230)</f>
        <v>-820613.54623611702</v>
      </c>
      <c r="M230" s="194">
        <f t="shared" ref="M230:N233" si="18">I230+K230</f>
        <v>10000000</v>
      </c>
      <c r="N230" s="194">
        <f t="shared" si="18"/>
        <v>-1022260.6690266944</v>
      </c>
      <c r="O230" s="125">
        <f>N230/H230</f>
        <v>-49.147147549360305</v>
      </c>
      <c r="P230" s="194">
        <v>-1500000</v>
      </c>
      <c r="Q230" s="125">
        <f>P230/H230</f>
        <v>-72.115384615384613</v>
      </c>
      <c r="R230" s="125">
        <f>O230+Q230</f>
        <v>-121.26253216474493</v>
      </c>
      <c r="S230" s="313">
        <f>R230*H230</f>
        <v>-2522260.6690266943</v>
      </c>
    </row>
    <row r="231" spans="7:19" x14ac:dyDescent="0.3">
      <c r="G231" s="1">
        <v>15</v>
      </c>
      <c r="H231" s="275">
        <f>G231*52*40</f>
        <v>31200</v>
      </c>
      <c r="I231" s="194">
        <v>5000000</v>
      </c>
      <c r="J231" s="194">
        <f>PMT($J$229,20,I231)</f>
        <v>-336078.53798429563</v>
      </c>
      <c r="K231" s="194">
        <v>10000000</v>
      </c>
      <c r="L231" s="194">
        <f>PMT($L$229,10,K231)</f>
        <v>-1172305.0660515958</v>
      </c>
      <c r="M231" s="194">
        <f t="shared" si="18"/>
        <v>15000000</v>
      </c>
      <c r="N231" s="194">
        <f t="shared" si="18"/>
        <v>-1508383.6040358916</v>
      </c>
      <c r="O231" s="125">
        <f>N231/H231</f>
        <v>-48.345628334483706</v>
      </c>
      <c r="P231" s="194">
        <v>-2000000</v>
      </c>
      <c r="Q231" s="125">
        <f>P231/H231</f>
        <v>-64.102564102564102</v>
      </c>
      <c r="R231" s="125">
        <f>O231+Q231</f>
        <v>-112.44819243704781</v>
      </c>
      <c r="S231" s="313">
        <f>R231*H231</f>
        <v>-3508383.6040358916</v>
      </c>
    </row>
    <row r="232" spans="7:19" x14ac:dyDescent="0.3">
      <c r="G232" s="1">
        <v>25</v>
      </c>
      <c r="H232" s="275">
        <f>G232*52*40</f>
        <v>52000</v>
      </c>
      <c r="I232" s="194">
        <v>10000000</v>
      </c>
      <c r="J232" s="194">
        <f>PMT($J$229,20,I232)</f>
        <v>-672157.07596859126</v>
      </c>
      <c r="K232" s="194">
        <v>15000000</v>
      </c>
      <c r="L232" s="194">
        <f>PMT($L$229,10,K232)</f>
        <v>-1758457.5990773938</v>
      </c>
      <c r="M232" s="194">
        <f t="shared" si="18"/>
        <v>25000000</v>
      </c>
      <c r="N232" s="194">
        <f t="shared" si="18"/>
        <v>-2430614.6750459848</v>
      </c>
      <c r="O232" s="125">
        <f>N232/H232</f>
        <v>-46.74258990473048</v>
      </c>
      <c r="P232" s="194">
        <v>-2500000</v>
      </c>
      <c r="Q232" s="125">
        <f>P232/H232</f>
        <v>-48.07692307692308</v>
      </c>
      <c r="R232" s="125">
        <f>O232+Q232</f>
        <v>-94.81951298165356</v>
      </c>
      <c r="S232" s="313">
        <f>R232*H232</f>
        <v>-4930614.6750459848</v>
      </c>
    </row>
    <row r="233" spans="7:19" x14ac:dyDescent="0.3">
      <c r="G233" s="1">
        <v>35</v>
      </c>
      <c r="H233" s="275">
        <f>G233*52*40</f>
        <v>72800</v>
      </c>
      <c r="I233" s="194">
        <v>15000000</v>
      </c>
      <c r="J233" s="194">
        <f>PMT($J$229,20,I233)</f>
        <v>-1008235.6139528869</v>
      </c>
      <c r="K233" s="194">
        <v>20000000</v>
      </c>
      <c r="L233" s="194">
        <f>PMT($L$229,10,K233)</f>
        <v>-2344610.1321031917</v>
      </c>
      <c r="M233" s="194">
        <f t="shared" si="18"/>
        <v>35000000</v>
      </c>
      <c r="N233" s="194">
        <f t="shared" si="18"/>
        <v>-3352845.7460560785</v>
      </c>
      <c r="O233" s="125">
        <f>N233/H233</f>
        <v>-46.055573434836241</v>
      </c>
      <c r="P233" s="194">
        <v>-3000000</v>
      </c>
      <c r="Q233" s="125">
        <f>P233/H233</f>
        <v>-41.208791208791212</v>
      </c>
      <c r="R233" s="125">
        <f>O233+Q233</f>
        <v>-87.264364643627459</v>
      </c>
      <c r="S233" s="313">
        <f>R233*H233</f>
        <v>-6352845.7460560789</v>
      </c>
    </row>
  </sheetData>
  <customSheetViews>
    <customSheetView guid="{C6E026A6-065F-4BC7-8A1C-5537BAE31A06}" state="hidden" topLeftCell="A100">
      <pageMargins left="0" right="0" top="0" bottom="0" header="0" footer="0"/>
      <pageSetup orientation="portrait" horizontalDpi="4294967292" verticalDpi="4294967292" r:id="rId1"/>
    </customSheetView>
    <customSheetView guid="{C1E42E27-80DF-5D46-A74B-2BA4AA86045C}" state="hidden" topLeftCell="A100">
      <pageMargins left="0" right="0" top="0" bottom="0" header="0" footer="0"/>
      <pageSetup orientation="portrait" horizontalDpi="4294967292" verticalDpi="4294967292" r:id="rId2"/>
    </customSheetView>
  </customSheetViews>
  <phoneticPr fontId="14" type="noConversion"/>
  <hyperlinks>
    <hyperlink ref="C56" r:id="rId3" xr:uid="{F80430B6-011F-40BA-85BF-6CB6A598006B}"/>
    <hyperlink ref="C57" r:id="rId4" xr:uid="{202AF97E-6375-46AC-8ABA-5E557D07B63A}"/>
    <hyperlink ref="C59" r:id="rId5" xr:uid="{F881EB1E-3DD6-4DD1-A056-87F96ADBC66A}"/>
    <hyperlink ref="C60" r:id="rId6" xr:uid="{925D07D4-E70D-437A-AAE0-EC37A39CAE77}"/>
    <hyperlink ref="C62" r:id="rId7" xr:uid="{8D526707-DC9B-4BB4-B981-77761D4D957C}"/>
  </hyperlinks>
  <pageMargins left="0.75" right="0.75" top="1" bottom="1" header="0.5" footer="0.5"/>
  <pageSetup orientation="portrait" horizontalDpi="4294967292" verticalDpi="4294967292" r:id="rId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3"/>
  <sheetViews>
    <sheetView workbookViewId="0">
      <selection activeCell="C5" sqref="C5:F5"/>
    </sheetView>
  </sheetViews>
  <sheetFormatPr defaultColWidth="8.81640625" defaultRowHeight="13" x14ac:dyDescent="0.3"/>
  <cols>
    <col min="1" max="1" width="40.453125" style="1" bestFit="1" customWidth="1"/>
    <col min="2" max="2" width="17.81640625" style="1" customWidth="1"/>
    <col min="3" max="3" width="19.81640625" style="1" customWidth="1"/>
    <col min="4" max="4" width="19.1796875" style="1" customWidth="1"/>
    <col min="5" max="5" width="17.1796875" style="1" customWidth="1"/>
    <col min="6" max="6" width="15.81640625" style="1" customWidth="1"/>
    <col min="7" max="7" width="19.1796875" style="1" customWidth="1"/>
    <col min="8" max="8" width="17.1796875" style="1" customWidth="1"/>
    <col min="9" max="9" width="9.453125" style="1" bestFit="1" customWidth="1"/>
    <col min="10" max="16384" width="8.81640625" style="1"/>
  </cols>
  <sheetData>
    <row r="1" spans="1:9" ht="39.5" thickBot="1" x14ac:dyDescent="0.35">
      <c r="A1" s="240" t="s">
        <v>315</v>
      </c>
      <c r="B1" s="241" t="s">
        <v>47</v>
      </c>
      <c r="C1" s="242" t="s">
        <v>17</v>
      </c>
      <c r="D1" s="243" t="s">
        <v>18</v>
      </c>
      <c r="E1" s="242" t="s">
        <v>19</v>
      </c>
      <c r="F1" s="243" t="s">
        <v>20</v>
      </c>
      <c r="G1" s="242" t="s">
        <v>21</v>
      </c>
      <c r="H1" s="243" t="s">
        <v>22</v>
      </c>
      <c r="I1" s="1">
        <v>1</v>
      </c>
    </row>
    <row r="2" spans="1:9" x14ac:dyDescent="0.3">
      <c r="A2" s="9" t="s">
        <v>261</v>
      </c>
      <c r="B2" s="75">
        <f>TonnageImpacts!C4</f>
        <v>0</v>
      </c>
      <c r="C2" s="75">
        <f>TonnageImpacts!D4</f>
        <v>0</v>
      </c>
      <c r="D2" s="75">
        <f>TonnageImpacts!E4</f>
        <v>0</v>
      </c>
      <c r="E2" s="75">
        <f>TonnageImpacts!F4</f>
        <v>0</v>
      </c>
      <c r="F2" s="75">
        <f>TonnageImpacts!G4</f>
        <v>0</v>
      </c>
      <c r="G2" s="75">
        <f>TonnageImpacts!H4</f>
        <v>0</v>
      </c>
      <c r="H2" s="75">
        <f>TonnageImpacts!I4</f>
        <v>0</v>
      </c>
      <c r="I2" s="1">
        <v>2</v>
      </c>
    </row>
    <row r="3" spans="1:9" x14ac:dyDescent="0.3">
      <c r="A3" s="76" t="s">
        <v>317</v>
      </c>
      <c r="B3" s="11" t="e">
        <f>TonnageImpacts!C13</f>
        <v>#N/A</v>
      </c>
      <c r="C3" s="11" t="e">
        <f>TonnageImpacts!D13</f>
        <v>#N/A</v>
      </c>
      <c r="D3" s="11" t="e">
        <f>TonnageImpacts!E13</f>
        <v>#N/A</v>
      </c>
      <c r="E3" s="11" t="e">
        <f>TonnageImpacts!F13</f>
        <v>#N/A</v>
      </c>
      <c r="F3" s="11" t="e">
        <f>TonnageImpacts!G13</f>
        <v>#N/A</v>
      </c>
      <c r="G3" s="11" t="e">
        <f>TonnageImpacts!H13</f>
        <v>#N/A</v>
      </c>
      <c r="H3" s="11" t="e">
        <f>TonnageImpacts!I13</f>
        <v>#N/A</v>
      </c>
      <c r="I3" s="1">
        <v>3</v>
      </c>
    </row>
    <row r="4" spans="1:9" x14ac:dyDescent="0.3">
      <c r="A4" s="3" t="s">
        <v>387</v>
      </c>
      <c r="B4" s="126">
        <v>0.05</v>
      </c>
      <c r="C4" s="126">
        <v>0.1</v>
      </c>
      <c r="D4" s="126">
        <v>0.1</v>
      </c>
      <c r="E4" s="126">
        <v>0.15</v>
      </c>
      <c r="F4" s="126">
        <v>0.15</v>
      </c>
      <c r="G4" s="126">
        <v>0.2</v>
      </c>
      <c r="H4" s="126">
        <v>0.2</v>
      </c>
      <c r="I4" s="1">
        <v>4</v>
      </c>
    </row>
    <row r="5" spans="1:9" x14ac:dyDescent="0.3">
      <c r="A5" s="3" t="s">
        <v>388</v>
      </c>
      <c r="B5" s="4" t="e">
        <f>B3*B4</f>
        <v>#N/A</v>
      </c>
      <c r="C5" s="4" t="e">
        <f>C3*C4</f>
        <v>#N/A</v>
      </c>
      <c r="D5" s="4" t="e">
        <f t="shared" ref="D5:H5" si="0">D3*D4</f>
        <v>#N/A</v>
      </c>
      <c r="E5" s="4" t="e">
        <f t="shared" si="0"/>
        <v>#N/A</v>
      </c>
      <c r="F5" s="4" t="e">
        <f t="shared" si="0"/>
        <v>#N/A</v>
      </c>
      <c r="G5" s="4" t="e">
        <f t="shared" si="0"/>
        <v>#N/A</v>
      </c>
      <c r="H5" s="4" t="e">
        <f t="shared" si="0"/>
        <v>#N/A</v>
      </c>
      <c r="I5" s="1">
        <v>5</v>
      </c>
    </row>
    <row r="6" spans="1:9" x14ac:dyDescent="0.3">
      <c r="A6" s="76" t="s">
        <v>318</v>
      </c>
      <c r="B6" s="5" t="e">
        <f t="shared" ref="B6" si="1">B3/Load_Limit_Rolloff</f>
        <v>#N/A</v>
      </c>
      <c r="C6" s="5" t="e">
        <f>C3/Load_Limit_Rolloff</f>
        <v>#N/A</v>
      </c>
      <c r="D6" s="5" t="e">
        <f t="shared" ref="D6:H6" si="2">D3/Load_Limit_Rolloff</f>
        <v>#N/A</v>
      </c>
      <c r="E6" s="5" t="e">
        <f t="shared" si="2"/>
        <v>#N/A</v>
      </c>
      <c r="F6" s="5" t="e">
        <f t="shared" si="2"/>
        <v>#N/A</v>
      </c>
      <c r="G6" s="5" t="e">
        <f t="shared" si="2"/>
        <v>#N/A</v>
      </c>
      <c r="H6" s="5" t="e">
        <f t="shared" si="2"/>
        <v>#N/A</v>
      </c>
      <c r="I6" s="1">
        <v>6</v>
      </c>
    </row>
    <row r="7" spans="1:9" x14ac:dyDescent="0.3">
      <c r="A7" s="76" t="s">
        <v>319</v>
      </c>
      <c r="B7" s="3" t="e">
        <f t="shared" ref="B7" si="3">ROUNDUP(B6/Workdays_per_Year,1)</f>
        <v>#N/A</v>
      </c>
      <c r="C7" s="3" t="e">
        <f>ROUNDUP(C6/Workdays_per_Year,1)</f>
        <v>#N/A</v>
      </c>
      <c r="D7" s="3" t="e">
        <f t="shared" ref="D7:H7" si="4">ROUNDUP(D6/Workdays_per_Year,1)</f>
        <v>#N/A</v>
      </c>
      <c r="E7" s="3" t="e">
        <f t="shared" si="4"/>
        <v>#N/A</v>
      </c>
      <c r="F7" s="3" t="e">
        <f t="shared" si="4"/>
        <v>#N/A</v>
      </c>
      <c r="G7" s="3" t="e">
        <f t="shared" si="4"/>
        <v>#N/A</v>
      </c>
      <c r="H7" s="3" t="e">
        <f t="shared" si="4"/>
        <v>#N/A</v>
      </c>
      <c r="I7" s="1">
        <v>7</v>
      </c>
    </row>
    <row r="8" spans="1:9" x14ac:dyDescent="0.3">
      <c r="A8" s="76" t="s">
        <v>320</v>
      </c>
      <c r="B8" s="3">
        <f>ROUNDUP(B2/Number_of_Hh_per_Drop_Off_site,0)</f>
        <v>0</v>
      </c>
      <c r="C8" s="3"/>
      <c r="D8" s="3"/>
      <c r="E8" s="3"/>
      <c r="F8" s="3"/>
      <c r="G8" s="3"/>
      <c r="H8" s="3"/>
      <c r="I8" s="1">
        <v>8</v>
      </c>
    </row>
    <row r="9" spans="1:9" x14ac:dyDescent="0.3">
      <c r="A9" s="77"/>
      <c r="B9" s="77"/>
      <c r="C9" s="77"/>
      <c r="D9" s="77"/>
      <c r="E9" s="77"/>
      <c r="F9" s="77"/>
      <c r="G9" s="77"/>
      <c r="H9" s="77"/>
      <c r="I9" s="1">
        <v>9</v>
      </c>
    </row>
    <row r="10" spans="1:9" x14ac:dyDescent="0.3">
      <c r="A10" s="78" t="s">
        <v>559</v>
      </c>
      <c r="B10" s="3"/>
      <c r="C10" s="3"/>
      <c r="D10" s="3"/>
      <c r="E10" s="3"/>
      <c r="F10" s="3"/>
      <c r="G10" s="3"/>
      <c r="H10" s="3"/>
      <c r="I10" s="1">
        <v>10</v>
      </c>
    </row>
    <row r="11" spans="1:9" x14ac:dyDescent="0.3">
      <c r="A11" s="731" t="s">
        <v>59</v>
      </c>
      <c r="B11" s="598" t="e">
        <f>-IF(B3&lt;='Transfer &amp; MRF Assumptions'!$D$71,'Transfer &amp; MRF Assumptions'!$D$127*B3+'Transfer &amp; MRF Assumptions'!$D$128,IF(B3&lt;='Transfer &amp; MRF Assumptions'!$E$71,'Transfer &amp; MRF Assumptions'!$E$127*B3+'Transfer &amp; MRF Assumptions'!$E$128,'Transfer &amp; MRF Assumptions'!$E$127*B3+'Transfer &amp; MRF Assumptions'!$E$128))</f>
        <v>#N/A</v>
      </c>
      <c r="C11" s="598" t="e">
        <f>-IF(C3&lt;='Transfer &amp; MRF Assumptions'!$D$71,'Transfer &amp; MRF Assumptions'!$D$127*C3+'Transfer &amp; MRF Assumptions'!$D$128,IF(C3&lt;='Transfer &amp; MRF Assumptions'!$E$71,'Transfer &amp; MRF Assumptions'!$E$127*C3+'Transfer &amp; MRF Assumptions'!$E$128,'Transfer &amp; MRF Assumptions'!$E$127*C3+'Transfer &amp; MRF Assumptions'!$E$128))</f>
        <v>#N/A</v>
      </c>
      <c r="D11" s="598" t="e">
        <f>-IF(D3&lt;='Transfer &amp; MRF Assumptions'!$D$71,'Transfer &amp; MRF Assumptions'!$D$127*D3+'Transfer &amp; MRF Assumptions'!$D$128,IF(D3&lt;='Transfer &amp; MRF Assumptions'!$E$71,'Transfer &amp; MRF Assumptions'!$E$127*D3+'Transfer &amp; MRF Assumptions'!$E$128,'Transfer &amp; MRF Assumptions'!$E$127*D3+'Transfer &amp; MRF Assumptions'!$E$128))</f>
        <v>#N/A</v>
      </c>
      <c r="E11" s="598" t="e">
        <f>-IF(E3&lt;='Transfer &amp; MRF Assumptions'!$D$71,'Transfer &amp; MRF Assumptions'!$D$127*E3+'Transfer &amp; MRF Assumptions'!$D$128,IF(E3&lt;='Transfer &amp; MRF Assumptions'!$E$71,'Transfer &amp; MRF Assumptions'!$E$127*E3+'Transfer &amp; MRF Assumptions'!$E$128,'Transfer &amp; MRF Assumptions'!$E$127*E3+'Transfer &amp; MRF Assumptions'!$E$128))</f>
        <v>#N/A</v>
      </c>
      <c r="F11" s="598" t="e">
        <f>-IF(F3&lt;='Transfer &amp; MRF Assumptions'!$D$71,'Transfer &amp; MRF Assumptions'!$D$127*F3+'Transfer &amp; MRF Assumptions'!$D$128,IF(F3&lt;='Transfer &amp; MRF Assumptions'!$E$71,'Transfer &amp; MRF Assumptions'!$E$127*F3+'Transfer &amp; MRF Assumptions'!$E$128,'Transfer &amp; MRF Assumptions'!$E$127*F3+'Transfer &amp; MRF Assumptions'!$E$128))</f>
        <v>#N/A</v>
      </c>
      <c r="G11" s="598" t="e">
        <f>-IF(G3&lt;='Transfer &amp; MRF Assumptions'!$D$71,'Transfer &amp; MRF Assumptions'!$D$127*G3+'Transfer &amp; MRF Assumptions'!$D$128,IF(G3&lt;='Transfer &amp; MRF Assumptions'!$E$71,'Transfer &amp; MRF Assumptions'!$E$127*G3+'Transfer &amp; MRF Assumptions'!$E$128,'Transfer &amp; MRF Assumptions'!$E$127*G3+'Transfer &amp; MRF Assumptions'!$E$128))</f>
        <v>#N/A</v>
      </c>
      <c r="H11" s="598" t="e">
        <f>-IF(H3&lt;='Transfer &amp; MRF Assumptions'!$D$71,'Transfer &amp; MRF Assumptions'!$D$127*H3+'Transfer &amp; MRF Assumptions'!$D$128,IF(H3&lt;='Transfer &amp; MRF Assumptions'!$E$71,'Transfer &amp; MRF Assumptions'!$E$127*H3+'Transfer &amp; MRF Assumptions'!$E$128,'Transfer &amp; MRF Assumptions'!$E$127*H3+'Transfer &amp; MRF Assumptions'!$E$128))</f>
        <v>#N/A</v>
      </c>
      <c r="I11" s="1">
        <v>11</v>
      </c>
    </row>
    <row r="12" spans="1:9" x14ac:dyDescent="0.3">
      <c r="A12" s="200" t="s">
        <v>365</v>
      </c>
      <c r="B12" s="598" t="e">
        <f>B13*B3</f>
        <v>#N/A</v>
      </c>
      <c r="C12" s="598" t="e">
        <f t="shared" ref="C12:G12" si="5">C13*C3</f>
        <v>#N/A</v>
      </c>
      <c r="D12" s="598" t="e">
        <f t="shared" si="5"/>
        <v>#N/A</v>
      </c>
      <c r="E12" s="598" t="e">
        <f t="shared" si="5"/>
        <v>#N/A</v>
      </c>
      <c r="F12" s="598" t="e">
        <f t="shared" si="5"/>
        <v>#N/A</v>
      </c>
      <c r="G12" s="598" t="e">
        <f t="shared" si="5"/>
        <v>#N/A</v>
      </c>
      <c r="H12" s="598" t="e">
        <f>H13*H3</f>
        <v>#N/A</v>
      </c>
      <c r="I12" s="1">
        <v>12</v>
      </c>
    </row>
    <row r="13" spans="1:9" x14ac:dyDescent="0.3">
      <c r="A13" s="731" t="s">
        <v>366</v>
      </c>
      <c r="B13" s="598" t="e">
        <f>-IF(B$3&lt;='Transfer &amp; MRF Assumptions'!$D$71,'Transfer &amp; MRF Assumptions'!$D$123*B$3+'Transfer &amp; MRF Assumptions'!$D$124,IF(B$3&lt;='Transfer &amp; MRF Assumptions'!$E$71,'Transfer &amp; MRF Assumptions'!$E$123*B$3+'Transfer &amp; MRF Assumptions'!$E$124,'Transfer &amp; MRF Assumptions'!$E$118))</f>
        <v>#N/A</v>
      </c>
      <c r="C13" s="598" t="e">
        <f>-IF(C$3&lt;='Transfer &amp; MRF Assumptions'!$D$71,'Transfer &amp; MRF Assumptions'!$D$123*C$3+'Transfer &amp; MRF Assumptions'!$D$124,IF(C$3&lt;='Transfer &amp; MRF Assumptions'!$E$71,'Transfer &amp; MRF Assumptions'!$E$123*C$3+'Transfer &amp; MRF Assumptions'!$E$124,'Transfer &amp; MRF Assumptions'!$E$118))</f>
        <v>#N/A</v>
      </c>
      <c r="D13" s="598" t="e">
        <f>-IF(D$3&lt;='Transfer &amp; MRF Assumptions'!$D$71,'Transfer &amp; MRF Assumptions'!$D$123*D$3+'Transfer &amp; MRF Assumptions'!$D$124,IF(D$3&lt;='Transfer &amp; MRF Assumptions'!$E$71,'Transfer &amp; MRF Assumptions'!$E$123*D$3+'Transfer &amp; MRF Assumptions'!$E$124,'Transfer &amp; MRF Assumptions'!$E$118))</f>
        <v>#N/A</v>
      </c>
      <c r="E13" s="598" t="e">
        <f>-IF(E$3&lt;='Transfer &amp; MRF Assumptions'!$D$71,'Transfer &amp; MRF Assumptions'!$D$123*E$3+'Transfer &amp; MRF Assumptions'!$D$124,IF(E$3&lt;='Transfer &amp; MRF Assumptions'!$E$71,'Transfer &amp; MRF Assumptions'!$E$123*E$3+'Transfer &amp; MRF Assumptions'!$E$124,'Transfer &amp; MRF Assumptions'!$E$118))</f>
        <v>#N/A</v>
      </c>
      <c r="F13" s="598" t="e">
        <f>-IF(F$3&lt;='Transfer &amp; MRF Assumptions'!$D$71,'Transfer &amp; MRF Assumptions'!$D$123*F$3+'Transfer &amp; MRF Assumptions'!$D$124,IF(F$3&lt;='Transfer &amp; MRF Assumptions'!$E$71,'Transfer &amp; MRF Assumptions'!$E$123*F$3+'Transfer &amp; MRF Assumptions'!$E$124,'Transfer &amp; MRF Assumptions'!$E$118))</f>
        <v>#N/A</v>
      </c>
      <c r="G13" s="598" t="e">
        <f>-IF(G$3&lt;='Transfer &amp; MRF Assumptions'!$D$71,'Transfer &amp; MRF Assumptions'!$D$123*G$3+'Transfer &amp; MRF Assumptions'!$D$124,IF(G$3&lt;='Transfer &amp; MRF Assumptions'!$E$71,'Transfer &amp; MRF Assumptions'!$E$123*G$3+'Transfer &amp; MRF Assumptions'!$E$124,'Transfer &amp; MRF Assumptions'!$E$118))</f>
        <v>#N/A</v>
      </c>
      <c r="H13" s="598" t="e">
        <f>-IF(H$3&lt;='Transfer &amp; MRF Assumptions'!$D$71,'Transfer &amp; MRF Assumptions'!$D$123*H$3+'Transfer &amp; MRF Assumptions'!$D$124,IF(H$3&lt;='Transfer &amp; MRF Assumptions'!$E$71,'Transfer &amp; MRF Assumptions'!$E$123*H$3+'Transfer &amp; MRF Assumptions'!$E$124,'Transfer &amp; MRF Assumptions'!$E$118))</f>
        <v>#N/A</v>
      </c>
      <c r="I13" s="1">
        <v>13</v>
      </c>
    </row>
    <row r="14" spans="1:9" x14ac:dyDescent="0.3">
      <c r="A14" s="731" t="s">
        <v>367</v>
      </c>
      <c r="B14" s="683" t="e">
        <f t="shared" ref="B14:H14" si="6">B12/B2</f>
        <v>#N/A</v>
      </c>
      <c r="C14" s="683" t="e">
        <f t="shared" si="6"/>
        <v>#N/A</v>
      </c>
      <c r="D14" s="683" t="e">
        <f t="shared" si="6"/>
        <v>#N/A</v>
      </c>
      <c r="E14" s="683" t="e">
        <f t="shared" si="6"/>
        <v>#N/A</v>
      </c>
      <c r="F14" s="683" t="e">
        <f t="shared" si="6"/>
        <v>#N/A</v>
      </c>
      <c r="G14" s="683" t="e">
        <f t="shared" si="6"/>
        <v>#N/A</v>
      </c>
      <c r="H14" s="683" t="e">
        <f t="shared" si="6"/>
        <v>#N/A</v>
      </c>
      <c r="I14" s="1">
        <v>14</v>
      </c>
    </row>
    <row r="15" spans="1:9" x14ac:dyDescent="0.3">
      <c r="A15" s="3"/>
      <c r="B15" s="3"/>
      <c r="C15" s="3"/>
      <c r="D15" s="3"/>
      <c r="E15" s="3"/>
      <c r="F15" s="3"/>
      <c r="G15" s="3"/>
      <c r="H15" s="3"/>
      <c r="I15" s="1">
        <v>15</v>
      </c>
    </row>
    <row r="16" spans="1:9" x14ac:dyDescent="0.3">
      <c r="A16" s="3" t="s">
        <v>467</v>
      </c>
      <c r="B16" s="3">
        <f>IF(Input!$C$28="No (model will use default)",One_Way_Trip_Long_Haul_to_MRF,Input!$D$30)*2</f>
        <v>0</v>
      </c>
      <c r="C16" s="3">
        <f>IF(Input!$C$28="No (model will use default)",One_Way_Trip_Long_Haul_to_MRF,Input!$D$30)*2</f>
        <v>0</v>
      </c>
      <c r="D16" s="3">
        <f>IF(Input!$C$28="No (model will use default)",One_Way_Trip_Long_Haul_to_MRF,Input!$D$30)*2</f>
        <v>0</v>
      </c>
      <c r="E16" s="3">
        <f>IF(Input!$C$28="No (model will use default)",One_Way_Trip_Long_Haul_to_MRF,Input!$D$30)*2</f>
        <v>0</v>
      </c>
      <c r="F16" s="3">
        <f>IF(Input!$C$28="No (model will use default)",One_Way_Trip_Long_Haul_to_MRF,Input!$D$30)*2</f>
        <v>0</v>
      </c>
      <c r="G16" s="3">
        <f>IF(Input!$C$28="No (model will use default)",One_Way_Trip_Long_Haul_to_MRF,Input!$D$30)*2</f>
        <v>0</v>
      </c>
      <c r="H16" s="3">
        <f>IF(Input!$C$28="No (model will use default)",One_Way_Trip_Long_Haul_to_MRF,Input!$D$30)*2</f>
        <v>0</v>
      </c>
      <c r="I16" s="1">
        <v>16</v>
      </c>
    </row>
    <row r="17" spans="1:10" x14ac:dyDescent="0.3">
      <c r="A17" s="3" t="s">
        <v>468</v>
      </c>
      <c r="B17" s="181">
        <f t="shared" ref="B17:H17" si="7">-LH_Cost_per_Ton_per_Mile</f>
        <v>-0.23333333333333334</v>
      </c>
      <c r="C17" s="181">
        <f t="shared" si="7"/>
        <v>-0.23333333333333334</v>
      </c>
      <c r="D17" s="181">
        <f t="shared" si="7"/>
        <v>-0.23333333333333334</v>
      </c>
      <c r="E17" s="181">
        <f t="shared" si="7"/>
        <v>-0.23333333333333334</v>
      </c>
      <c r="F17" s="181">
        <f t="shared" si="7"/>
        <v>-0.23333333333333334</v>
      </c>
      <c r="G17" s="181">
        <f t="shared" si="7"/>
        <v>-0.23333333333333334</v>
      </c>
      <c r="H17" s="181">
        <f t="shared" si="7"/>
        <v>-0.23333333333333334</v>
      </c>
      <c r="I17" s="1">
        <v>17</v>
      </c>
    </row>
    <row r="18" spans="1:10" x14ac:dyDescent="0.3">
      <c r="A18" s="3" t="s">
        <v>469</v>
      </c>
      <c r="B18" s="17" t="e">
        <f>B16*B17*B3</f>
        <v>#N/A</v>
      </c>
      <c r="C18" s="17" t="e">
        <f t="shared" ref="C18:H18" si="8">C16*C17*C3</f>
        <v>#N/A</v>
      </c>
      <c r="D18" s="17" t="e">
        <f t="shared" si="8"/>
        <v>#N/A</v>
      </c>
      <c r="E18" s="17" t="e">
        <f t="shared" si="8"/>
        <v>#N/A</v>
      </c>
      <c r="F18" s="17" t="e">
        <f>F16*F17*F3</f>
        <v>#N/A</v>
      </c>
      <c r="G18" s="17" t="e">
        <f t="shared" si="8"/>
        <v>#N/A</v>
      </c>
      <c r="H18" s="17" t="e">
        <f t="shared" si="8"/>
        <v>#N/A</v>
      </c>
      <c r="I18" s="1">
        <v>18</v>
      </c>
    </row>
    <row r="19" spans="1:10" x14ac:dyDescent="0.3">
      <c r="A19" s="3" t="s">
        <v>470</v>
      </c>
      <c r="B19" s="17" t="e">
        <f t="shared" ref="B19:H19" si="9">B18/B3</f>
        <v>#N/A</v>
      </c>
      <c r="C19" s="17" t="e">
        <f t="shared" si="9"/>
        <v>#N/A</v>
      </c>
      <c r="D19" s="17" t="e">
        <f t="shared" si="9"/>
        <v>#N/A</v>
      </c>
      <c r="E19" s="17" t="e">
        <f t="shared" si="9"/>
        <v>#N/A</v>
      </c>
      <c r="F19" s="17" t="e">
        <f t="shared" si="9"/>
        <v>#N/A</v>
      </c>
      <c r="G19" s="17" t="e">
        <f t="shared" si="9"/>
        <v>#N/A</v>
      </c>
      <c r="H19" s="17" t="e">
        <f t="shared" si="9"/>
        <v>#N/A</v>
      </c>
      <c r="I19" s="1">
        <v>19</v>
      </c>
    </row>
    <row r="20" spans="1:10" x14ac:dyDescent="0.3">
      <c r="A20" s="3" t="s">
        <v>471</v>
      </c>
      <c r="B20" s="17" t="e">
        <f>B18/B2</f>
        <v>#N/A</v>
      </c>
      <c r="C20" s="17" t="e">
        <f t="shared" ref="C20:H20" si="10">C18/C2</f>
        <v>#N/A</v>
      </c>
      <c r="D20" s="17" t="e">
        <f t="shared" si="10"/>
        <v>#N/A</v>
      </c>
      <c r="E20" s="17" t="e">
        <f t="shared" si="10"/>
        <v>#N/A</v>
      </c>
      <c r="F20" s="17" t="e">
        <f t="shared" si="10"/>
        <v>#N/A</v>
      </c>
      <c r="G20" s="17" t="e">
        <f t="shared" si="10"/>
        <v>#N/A</v>
      </c>
      <c r="H20" s="17" t="e">
        <f t="shared" si="10"/>
        <v>#N/A</v>
      </c>
      <c r="I20" s="1">
        <v>20</v>
      </c>
    </row>
    <row r="21" spans="1:10" x14ac:dyDescent="0.3">
      <c r="A21" s="3"/>
      <c r="B21" s="25"/>
      <c r="C21" s="25"/>
      <c r="D21" s="25"/>
      <c r="E21" s="25"/>
      <c r="F21" s="25"/>
      <c r="G21" s="25"/>
      <c r="H21" s="25"/>
      <c r="I21" s="1">
        <v>21</v>
      </c>
    </row>
    <row r="22" spans="1:10" x14ac:dyDescent="0.3">
      <c r="A22" s="79" t="s">
        <v>472</v>
      </c>
      <c r="B22" s="25" t="e">
        <f>B13+B19</f>
        <v>#N/A</v>
      </c>
      <c r="C22" s="25" t="e">
        <f t="shared" ref="C22:G23" si="11">C13+C19</f>
        <v>#N/A</v>
      </c>
      <c r="D22" s="25" t="e">
        <f t="shared" si="11"/>
        <v>#N/A</v>
      </c>
      <c r="E22" s="25" t="e">
        <f t="shared" si="11"/>
        <v>#N/A</v>
      </c>
      <c r="F22" s="25" t="e">
        <f t="shared" si="11"/>
        <v>#N/A</v>
      </c>
      <c r="G22" s="25" t="e">
        <f t="shared" si="11"/>
        <v>#N/A</v>
      </c>
      <c r="H22" s="25" t="e">
        <f>H13+H19</f>
        <v>#N/A</v>
      </c>
      <c r="I22" s="1">
        <v>22</v>
      </c>
    </row>
    <row r="23" spans="1:10" x14ac:dyDescent="0.3">
      <c r="A23" s="79" t="s">
        <v>473</v>
      </c>
      <c r="B23" s="25" t="e">
        <f>B14+B20</f>
        <v>#N/A</v>
      </c>
      <c r="C23" s="25" t="e">
        <f t="shared" si="11"/>
        <v>#N/A</v>
      </c>
      <c r="D23" s="25" t="e">
        <f t="shared" si="11"/>
        <v>#N/A</v>
      </c>
      <c r="E23" s="25" t="e">
        <f t="shared" si="11"/>
        <v>#N/A</v>
      </c>
      <c r="F23" s="25" t="e">
        <f t="shared" si="11"/>
        <v>#N/A</v>
      </c>
      <c r="G23" s="25" t="e">
        <f t="shared" si="11"/>
        <v>#N/A</v>
      </c>
      <c r="H23" s="25" t="e">
        <f>H14+H20</f>
        <v>#N/A</v>
      </c>
      <c r="I23" s="1">
        <v>23</v>
      </c>
    </row>
    <row r="24" spans="1:10" x14ac:dyDescent="0.3">
      <c r="A24" s="79"/>
      <c r="B24" s="94"/>
      <c r="C24" s="94"/>
      <c r="D24" s="94"/>
      <c r="E24" s="94"/>
      <c r="F24" s="94"/>
      <c r="G24" s="94"/>
      <c r="H24" s="94"/>
      <c r="I24" s="1">
        <v>24</v>
      </c>
    </row>
    <row r="25" spans="1:10" s="684" customFormat="1" x14ac:dyDescent="0.3">
      <c r="A25" s="79" t="s">
        <v>1017</v>
      </c>
      <c r="B25" s="685">
        <f>DropDowns_LookUps!$G$28</f>
        <v>-98.755566345919021</v>
      </c>
      <c r="C25" s="685">
        <f>DropDowns_LookUps!$G$28</f>
        <v>-98.755566345919021</v>
      </c>
      <c r="D25" s="685">
        <f>DropDowns_LookUps!$G$28</f>
        <v>-98.755566345919021</v>
      </c>
      <c r="E25" s="685">
        <f>DropDowns_LookUps!$G$28</f>
        <v>-98.755566345919021</v>
      </c>
      <c r="F25" s="685">
        <f>DropDowns_LookUps!$G$28</f>
        <v>-98.755566345919021</v>
      </c>
      <c r="G25" s="685">
        <f>DropDowns_LookUps!$G$28</f>
        <v>-98.755566345919021</v>
      </c>
      <c r="H25" s="685">
        <f>DropDowns_LookUps!$G$28</f>
        <v>-98.755566345919021</v>
      </c>
      <c r="I25" s="1">
        <v>25</v>
      </c>
    </row>
    <row r="26" spans="1:10" s="684" customFormat="1" x14ac:dyDescent="0.3">
      <c r="A26" s="79" t="s">
        <v>474</v>
      </c>
      <c r="B26" s="683" t="e">
        <f>B27*B3</f>
        <v>#N/A</v>
      </c>
      <c r="C26" s="683" t="e">
        <f t="shared" ref="C26:H26" si="12">C27*C3</f>
        <v>#N/A</v>
      </c>
      <c r="D26" s="683" t="e">
        <f t="shared" si="12"/>
        <v>#N/A</v>
      </c>
      <c r="E26" s="683" t="e">
        <f t="shared" si="12"/>
        <v>#N/A</v>
      </c>
      <c r="F26" s="683" t="e">
        <f t="shared" si="12"/>
        <v>#N/A</v>
      </c>
      <c r="G26" s="683" t="e">
        <f t="shared" si="12"/>
        <v>#N/A</v>
      </c>
      <c r="H26" s="683" t="e">
        <f t="shared" si="12"/>
        <v>#N/A</v>
      </c>
      <c r="I26" s="1">
        <v>26</v>
      </c>
    </row>
    <row r="27" spans="1:10" s="684" customFormat="1" x14ac:dyDescent="0.3">
      <c r="A27" s="79" t="s">
        <v>1048</v>
      </c>
      <c r="B27" s="685">
        <f>IF(Input!$C$22="No (model will use default)",VLOOKUP(Input!$C$6,DropDowns_LookUps!$A$27:$I$33,3),Input!$D$24)</f>
        <v>0</v>
      </c>
      <c r="C27" s="685">
        <f>IF(Input!$C$22="No (model will use default)",VLOOKUP(Input!$C$6,DropDowns_LookUps!$A$27:$I$33,3),Input!$D$24)</f>
        <v>0</v>
      </c>
      <c r="D27" s="685">
        <f>IF(Input!$C$22="No (model will use default)",VLOOKUP(Input!$C$6,DropDowns_LookUps!$A$27:$I$33,3),Input!$D$24)</f>
        <v>0</v>
      </c>
      <c r="E27" s="685">
        <f>IF(Input!$C$22="No (model will use default)",VLOOKUP(Input!$C$6,DropDowns_LookUps!$A$27:$I$33,3),Input!$D$24)</f>
        <v>0</v>
      </c>
      <c r="F27" s="685">
        <f>IF(Input!$C$22="No (model will use default)",VLOOKUP(Input!$C$6,DropDowns_LookUps!$A$27:$I$33,3),Input!$D$24)</f>
        <v>0</v>
      </c>
      <c r="G27" s="685">
        <f>IF(Input!$C$22="No (model will use default)",VLOOKUP(Input!$C$6,DropDowns_LookUps!$A$27:$I$33,4),Input!$D$24)</f>
        <v>0</v>
      </c>
      <c r="H27" s="685">
        <f>IF(Input!$C$22="No (model will use default)",VLOOKUP(Input!$C$6,DropDowns_LookUps!$A$27:$I$33,4),Input!$D$24)</f>
        <v>0</v>
      </c>
      <c r="I27" s="1">
        <v>27</v>
      </c>
    </row>
    <row r="28" spans="1:10" s="684" customFormat="1" x14ac:dyDescent="0.3">
      <c r="A28" s="3"/>
      <c r="B28" s="686"/>
      <c r="C28" s="686"/>
      <c r="D28" s="686"/>
      <c r="E28" s="686"/>
      <c r="F28" s="686"/>
      <c r="G28" s="686"/>
      <c r="H28" s="686"/>
      <c r="I28" s="1">
        <v>28</v>
      </c>
    </row>
    <row r="29" spans="1:10" x14ac:dyDescent="0.3">
      <c r="A29" s="3" t="s">
        <v>1049</v>
      </c>
      <c r="B29" s="25" t="e">
        <f>B22+B27</f>
        <v>#N/A</v>
      </c>
      <c r="C29" s="25" t="e">
        <f t="shared" ref="C29:G29" si="13">C22+C27</f>
        <v>#N/A</v>
      </c>
      <c r="D29" s="25" t="e">
        <f t="shared" si="13"/>
        <v>#N/A</v>
      </c>
      <c r="E29" s="25" t="e">
        <f t="shared" si="13"/>
        <v>#N/A</v>
      </c>
      <c r="F29" s="25" t="e">
        <f t="shared" si="13"/>
        <v>#N/A</v>
      </c>
      <c r="G29" s="25" t="e">
        <f t="shared" si="13"/>
        <v>#N/A</v>
      </c>
      <c r="H29" s="25" t="e">
        <f>H22+H27</f>
        <v>#N/A</v>
      </c>
      <c r="I29" s="1">
        <v>29</v>
      </c>
    </row>
    <row r="30" spans="1:10" x14ac:dyDescent="0.3">
      <c r="A30" s="3" t="s">
        <v>1050</v>
      </c>
      <c r="B30" s="685" t="e">
        <f t="shared" ref="B30:G30" si="14">B29*B3/B2</f>
        <v>#N/A</v>
      </c>
      <c r="C30" s="25" t="e">
        <f t="shared" si="14"/>
        <v>#N/A</v>
      </c>
      <c r="D30" s="25" t="e">
        <f t="shared" si="14"/>
        <v>#N/A</v>
      </c>
      <c r="E30" s="25" t="e">
        <f t="shared" si="14"/>
        <v>#N/A</v>
      </c>
      <c r="F30" s="25" t="e">
        <f t="shared" si="14"/>
        <v>#N/A</v>
      </c>
      <c r="G30" s="25" t="e">
        <f t="shared" si="14"/>
        <v>#N/A</v>
      </c>
      <c r="H30" s="25" t="e">
        <f>H29*H3/H2</f>
        <v>#N/A</v>
      </c>
      <c r="I30" s="1">
        <v>30</v>
      </c>
      <c r="J30" s="295"/>
    </row>
    <row r="31" spans="1:10" x14ac:dyDescent="0.3">
      <c r="A31" s="3" t="s">
        <v>1063</v>
      </c>
      <c r="B31" s="25" t="e">
        <f>B12+B18+B26</f>
        <v>#N/A</v>
      </c>
      <c r="C31" s="25" t="e">
        <f t="shared" ref="C31:G31" si="15">C12+C18+C26</f>
        <v>#N/A</v>
      </c>
      <c r="D31" s="25" t="e">
        <f t="shared" si="15"/>
        <v>#N/A</v>
      </c>
      <c r="E31" s="25" t="e">
        <f t="shared" si="15"/>
        <v>#N/A</v>
      </c>
      <c r="F31" s="25" t="e">
        <f>F12+F18+F26</f>
        <v>#N/A</v>
      </c>
      <c r="G31" s="25" t="e">
        <f t="shared" si="15"/>
        <v>#N/A</v>
      </c>
      <c r="H31" s="25" t="e">
        <f>H12+H18+H26</f>
        <v>#N/A</v>
      </c>
      <c r="I31" s="1">
        <v>31</v>
      </c>
    </row>
    <row r="32" spans="1:10" x14ac:dyDescent="0.3">
      <c r="A32" s="77"/>
      <c r="B32" s="77"/>
      <c r="C32" s="77"/>
      <c r="D32" s="77"/>
      <c r="E32" s="77"/>
      <c r="F32" s="77"/>
      <c r="G32" s="77"/>
      <c r="H32" s="77"/>
      <c r="I32" s="1">
        <v>32</v>
      </c>
    </row>
    <row r="33" spans="1:9" x14ac:dyDescent="0.3">
      <c r="A33" s="76" t="s">
        <v>562</v>
      </c>
      <c r="B33" s="83"/>
      <c r="C33" s="83"/>
      <c r="D33" s="83"/>
      <c r="E33" s="83"/>
      <c r="F33" s="83"/>
      <c r="G33" s="83"/>
      <c r="H33" s="83"/>
      <c r="I33" s="1">
        <v>33</v>
      </c>
    </row>
    <row r="34" spans="1:9" x14ac:dyDescent="0.3">
      <c r="A34" s="79" t="s">
        <v>357</v>
      </c>
      <c r="B34" s="83" t="e">
        <f>-B5*CollectionDisposalSavings!C3</f>
        <v>#N/A</v>
      </c>
      <c r="C34" s="83" t="e">
        <f>-C5*CollectionDisposalSavings!D3</f>
        <v>#N/A</v>
      </c>
      <c r="D34" s="83" t="e">
        <f>-D5*CollectionDisposalSavings!E3</f>
        <v>#N/A</v>
      </c>
      <c r="E34" s="83" t="e">
        <f>-E5*CollectionDisposalSavings!F3</f>
        <v>#N/A</v>
      </c>
      <c r="F34" s="83" t="e">
        <f>-F5*CollectionDisposalSavings!G3</f>
        <v>#N/A</v>
      </c>
      <c r="G34" s="83" t="e">
        <f>-G5*CollectionDisposalSavings!H3</f>
        <v>#N/A</v>
      </c>
      <c r="H34" s="83" t="e">
        <f>-H5*CollectionDisposalSavings!I3</f>
        <v>#N/A</v>
      </c>
      <c r="I34" s="1">
        <v>34</v>
      </c>
    </row>
    <row r="35" spans="1:9" x14ac:dyDescent="0.3">
      <c r="A35" s="79" t="s">
        <v>475</v>
      </c>
      <c r="B35" s="181" t="e">
        <f>B34/B3</f>
        <v>#N/A</v>
      </c>
      <c r="C35" s="181" t="e">
        <f t="shared" ref="C35:G35" si="16">C34/C3</f>
        <v>#N/A</v>
      </c>
      <c r="D35" s="181" t="e">
        <f t="shared" si="16"/>
        <v>#N/A</v>
      </c>
      <c r="E35" s="181" t="e">
        <f t="shared" si="16"/>
        <v>#N/A</v>
      </c>
      <c r="F35" s="181" t="e">
        <f t="shared" si="16"/>
        <v>#N/A</v>
      </c>
      <c r="G35" s="181" t="e">
        <f t="shared" si="16"/>
        <v>#N/A</v>
      </c>
      <c r="H35" s="181" t="e">
        <f>H34/H3</f>
        <v>#N/A</v>
      </c>
      <c r="I35" s="1">
        <v>35</v>
      </c>
    </row>
    <row r="36" spans="1:9" x14ac:dyDescent="0.3">
      <c r="A36" s="3" t="s">
        <v>1011</v>
      </c>
      <c r="B36" s="83" t="e">
        <f>-IF(B$3&lt;='Transfer &amp; MRF Assumptions'!$D$136,'Transfer &amp; MRF Assumptions'!$D$196*B$3+'Transfer &amp; MRF Assumptions'!$D$197,IF(B$3&lt;='Transfer &amp; MRF Assumptions'!$E$136,'Transfer &amp; MRF Assumptions'!$E$196*B$3+'Transfer &amp; MRF Assumptions'!$E$197,'Transfer &amp; MRF Assumptions'!$E$191))</f>
        <v>#N/A</v>
      </c>
      <c r="C36" s="83" t="e">
        <f>-IF(C$3&lt;='Transfer &amp; MRF Assumptions'!$D$136,'Transfer &amp; MRF Assumptions'!$D$196*C$3+'Transfer &amp; MRF Assumptions'!$D$197,IF(C$3&lt;='Transfer &amp; MRF Assumptions'!$E$136,'Transfer &amp; MRF Assumptions'!$E$196*C$3+'Transfer &amp; MRF Assumptions'!$E$197,'Transfer &amp; MRF Assumptions'!$E$191))</f>
        <v>#N/A</v>
      </c>
      <c r="D36" s="83" t="e">
        <f>-IF(D$3&lt;='Transfer &amp; MRF Assumptions'!$D$136,'Transfer &amp; MRF Assumptions'!$D$196*D$3+'Transfer &amp; MRF Assumptions'!$D$197,IF(D$3&lt;='Transfer &amp; MRF Assumptions'!$E$136,'Transfer &amp; MRF Assumptions'!$E$196*D$3+'Transfer &amp; MRF Assumptions'!$E$197,'Transfer &amp; MRF Assumptions'!$E$191))</f>
        <v>#N/A</v>
      </c>
      <c r="E36" s="83" t="e">
        <f>-IF(E$3&lt;='Transfer &amp; MRF Assumptions'!$D$136,'Transfer &amp; MRF Assumptions'!$D$196*E$3+'Transfer &amp; MRF Assumptions'!$D$197,IF(E$3&lt;='Transfer &amp; MRF Assumptions'!$E$136,'Transfer &amp; MRF Assumptions'!$E$196*E$3+'Transfer &amp; MRF Assumptions'!$E$197,'Transfer &amp; MRF Assumptions'!$E$191))</f>
        <v>#N/A</v>
      </c>
      <c r="F36" s="83" t="e">
        <f>-IF(F$3&lt;='Transfer &amp; MRF Assumptions'!$D$136,'Transfer &amp; MRF Assumptions'!$D$196*F$3+'Transfer &amp; MRF Assumptions'!$D$197,IF(F$3&lt;='Transfer &amp; MRF Assumptions'!$E$136,'Transfer &amp; MRF Assumptions'!$E$196*F$3+'Transfer &amp; MRF Assumptions'!$E$197,'Transfer &amp; MRF Assumptions'!$E$191))</f>
        <v>#N/A</v>
      </c>
      <c r="G36" s="83" t="e">
        <f>-IF(G$3&lt;='Transfer &amp; MRF Assumptions'!$D$136,'Transfer &amp; MRF Assumptions'!$D$196*G$3+'Transfer &amp; MRF Assumptions'!$D$197,IF(G$3&lt;='Transfer &amp; MRF Assumptions'!$E$136,'Transfer &amp; MRF Assumptions'!$E$196*G$3+'Transfer &amp; MRF Assumptions'!$E$197,'Transfer &amp; MRF Assumptions'!$E$191))</f>
        <v>#N/A</v>
      </c>
      <c r="H36" s="83" t="e">
        <f>-IF(H$3&lt;='Transfer &amp; MRF Assumptions'!$D$136,'Transfer &amp; MRF Assumptions'!$D$196*H$3+'Transfer &amp; MRF Assumptions'!$D$197,IF(H$3&lt;='Transfer &amp; MRF Assumptions'!$E$136,'Transfer &amp; MRF Assumptions'!$E$196*H$3+'Transfer &amp; MRF Assumptions'!$E$197,'Transfer &amp; MRF Assumptions'!$E$191))</f>
        <v>#N/A</v>
      </c>
      <c r="I36" s="1">
        <v>36</v>
      </c>
    </row>
    <row r="37" spans="1:9" x14ac:dyDescent="0.3">
      <c r="A37" s="3" t="s">
        <v>1012</v>
      </c>
      <c r="B37" s="83" t="e">
        <f t="shared" ref="B37:G37" si="17">B35+B36</f>
        <v>#N/A</v>
      </c>
      <c r="C37" s="83" t="e">
        <f t="shared" si="17"/>
        <v>#N/A</v>
      </c>
      <c r="D37" s="83" t="e">
        <f t="shared" si="17"/>
        <v>#N/A</v>
      </c>
      <c r="E37" s="83" t="e">
        <f t="shared" si="17"/>
        <v>#N/A</v>
      </c>
      <c r="F37" s="83" t="e">
        <f t="shared" si="17"/>
        <v>#N/A</v>
      </c>
      <c r="G37" s="83" t="e">
        <f t="shared" si="17"/>
        <v>#N/A</v>
      </c>
      <c r="H37" s="83" t="e">
        <f>H35+H36</f>
        <v>#N/A</v>
      </c>
      <c r="I37" s="1">
        <v>37</v>
      </c>
    </row>
    <row r="38" spans="1:9" x14ac:dyDescent="0.3">
      <c r="A38" s="3" t="s">
        <v>476</v>
      </c>
      <c r="B38" s="245" t="e">
        <f t="shared" ref="B38:G38" si="18">ROUNDUP((B42)*B3,-2)</f>
        <v>#N/A</v>
      </c>
      <c r="C38" s="245" t="e">
        <f t="shared" si="18"/>
        <v>#N/A</v>
      </c>
      <c r="D38" s="245" t="e">
        <f t="shared" si="18"/>
        <v>#N/A</v>
      </c>
      <c r="E38" s="245" t="e">
        <f t="shared" si="18"/>
        <v>#N/A</v>
      </c>
      <c r="F38" s="245" t="e">
        <f t="shared" si="18"/>
        <v>#N/A</v>
      </c>
      <c r="G38" s="245" t="e">
        <f t="shared" si="18"/>
        <v>#N/A</v>
      </c>
      <c r="H38" s="245" t="e">
        <f>ROUNDUP((H42)*H3,-2)</f>
        <v>#N/A</v>
      </c>
      <c r="I38" s="1">
        <v>38</v>
      </c>
    </row>
    <row r="39" spans="1:9" x14ac:dyDescent="0.3">
      <c r="A39" s="3" t="s">
        <v>59</v>
      </c>
      <c r="B39" s="245" t="e">
        <f>-IF(B$3&lt;='Transfer &amp; MRF Assumptions'!$D$136,'Transfer &amp; MRF Assumptions'!$D$200*B$3+'Transfer &amp; MRF Assumptions'!$D$201,IF(B$3&lt;='Transfer &amp; MRF Assumptions'!$E$136,'Transfer &amp; MRF Assumptions'!$E$200*B$3+'Transfer &amp; MRF Assumptions'!$E$201,'Transfer &amp; MRF Assumptions'!$E$163))</f>
        <v>#N/A</v>
      </c>
      <c r="C39" s="245" t="e">
        <f>-IF(C$3&lt;='Transfer &amp; MRF Assumptions'!$D$136,'Transfer &amp; MRF Assumptions'!$D$200*C$3+'Transfer &amp; MRF Assumptions'!$D$201,IF(C$3&lt;='Transfer &amp; MRF Assumptions'!$E$136,'Transfer &amp; MRF Assumptions'!$E$200*C$3+'Transfer &amp; MRF Assumptions'!$E$201,'Transfer &amp; MRF Assumptions'!$E$163))</f>
        <v>#N/A</v>
      </c>
      <c r="D39" s="245" t="e">
        <f>-IF(D$3&lt;='Transfer &amp; MRF Assumptions'!$D$136,'Transfer &amp; MRF Assumptions'!$D$200*D$3+'Transfer &amp; MRF Assumptions'!$D$201,IF(D$3&lt;='Transfer &amp; MRF Assumptions'!$E$136,'Transfer &amp; MRF Assumptions'!$E$200*D$3+'Transfer &amp; MRF Assumptions'!$E$201,'Transfer &amp; MRF Assumptions'!$E$163))</f>
        <v>#N/A</v>
      </c>
      <c r="E39" s="245" t="e">
        <f>-IF(E$3&lt;='Transfer &amp; MRF Assumptions'!$D$136,'Transfer &amp; MRF Assumptions'!$D$200*E$3+'Transfer &amp; MRF Assumptions'!$D$201,IF(E$3&lt;='Transfer &amp; MRF Assumptions'!$E$136,'Transfer &amp; MRF Assumptions'!$E$200*E$3+'Transfer &amp; MRF Assumptions'!$E$201,'Transfer &amp; MRF Assumptions'!$E$163))</f>
        <v>#N/A</v>
      </c>
      <c r="F39" s="245" t="e">
        <f>-IF(F$3&lt;='Transfer &amp; MRF Assumptions'!$D$136,'Transfer &amp; MRF Assumptions'!$D$200*F$3+'Transfer &amp; MRF Assumptions'!$D$201,IF(F$3&lt;='Transfer &amp; MRF Assumptions'!$E$136,'Transfer &amp; MRF Assumptions'!$E$200*F$3+'Transfer &amp; MRF Assumptions'!$E$201,'Transfer &amp; MRF Assumptions'!$E$163))</f>
        <v>#N/A</v>
      </c>
      <c r="G39" s="245" t="e">
        <f>-IF(G$3&lt;='Transfer &amp; MRF Assumptions'!$D$136,'Transfer &amp; MRF Assumptions'!$D$200*G$3+'Transfer &amp; MRF Assumptions'!$D$201,IF(G$3&lt;='Transfer &amp; MRF Assumptions'!$E$136,'Transfer &amp; MRF Assumptions'!$E$200*G$3+'Transfer &amp; MRF Assumptions'!$E$201,'Transfer &amp; MRF Assumptions'!$E$163))</f>
        <v>#N/A</v>
      </c>
      <c r="H39" s="245" t="e">
        <f>-IF(H$3&lt;='Transfer &amp; MRF Assumptions'!$D$136,'Transfer &amp; MRF Assumptions'!$D$200*H$3+'Transfer &amp; MRF Assumptions'!$D$201,IF(H$3&lt;='Transfer &amp; MRF Assumptions'!$E$136,'Transfer &amp; MRF Assumptions'!$E$200*H$3+'Transfer &amp; MRF Assumptions'!$E$201,'Transfer &amp; MRF Assumptions'!$E$163))</f>
        <v>#N/A</v>
      </c>
      <c r="I39" s="1">
        <v>39</v>
      </c>
    </row>
    <row r="40" spans="1:9" x14ac:dyDescent="0.3">
      <c r="A40" s="3" t="s">
        <v>477</v>
      </c>
      <c r="B40" s="244" t="e">
        <f>VLOOKUP(Input!$C$6,DropDowns_LookUps!$A$27:$I$33,8)</f>
        <v>#N/A</v>
      </c>
      <c r="C40" s="244" t="e">
        <f>VLOOKUP(Input!$C$6,DropDowns_LookUps!$A$27:$I$33,8)</f>
        <v>#N/A</v>
      </c>
      <c r="D40" s="244" t="e">
        <f>VLOOKUP(Input!$C$6,DropDowns_LookUps!$A$27:$I$33,8)</f>
        <v>#N/A</v>
      </c>
      <c r="E40" s="244" t="e">
        <f>VLOOKUP(Input!$C$6,DropDowns_LookUps!$A$27:$I$33,8)</f>
        <v>#N/A</v>
      </c>
      <c r="F40" s="244" t="e">
        <f>VLOOKUP(Input!$C$6,DropDowns_LookUps!$A$27:$I$33,8)</f>
        <v>#N/A</v>
      </c>
      <c r="G40" s="244" t="e">
        <f>VLOOKUP(Input!$C$6,DropDowns_LookUps!$A$27:$I$33,8)</f>
        <v>#N/A</v>
      </c>
      <c r="H40" s="244" t="e">
        <f>VLOOKUP(Input!$C$6,DropDowns_LookUps!$A$27:$I$33,8)</f>
        <v>#N/A</v>
      </c>
      <c r="I40" s="1">
        <v>40</v>
      </c>
    </row>
    <row r="41" spans="1:9" x14ac:dyDescent="0.3">
      <c r="A41" s="3" t="s">
        <v>1065</v>
      </c>
      <c r="B41" s="244" t="e">
        <f>B40*DropDowns_LookUps!$H$26</f>
        <v>#N/A</v>
      </c>
      <c r="C41" s="244" t="e">
        <f>C40*DropDowns_LookUps!$H$26</f>
        <v>#N/A</v>
      </c>
      <c r="D41" s="244" t="e">
        <f>D40*DropDowns_LookUps!$H$26</f>
        <v>#N/A</v>
      </c>
      <c r="E41" s="244" t="e">
        <f>E40*DropDowns_LookUps!$H$26</f>
        <v>#N/A</v>
      </c>
      <c r="F41" s="244" t="e">
        <f>F40*DropDowns_LookUps!$H$26</f>
        <v>#N/A</v>
      </c>
      <c r="G41" s="244" t="e">
        <f>G40*DropDowns_LookUps!$H$26</f>
        <v>#N/A</v>
      </c>
      <c r="H41" s="244" t="e">
        <f>H40*DropDowns_LookUps!$H$26</f>
        <v>#N/A</v>
      </c>
      <c r="I41" s="1">
        <v>41</v>
      </c>
    </row>
    <row r="42" spans="1:9" x14ac:dyDescent="0.3">
      <c r="A42" s="3" t="s">
        <v>478</v>
      </c>
      <c r="B42" s="245" t="e">
        <f>B36+B35+B41</f>
        <v>#N/A</v>
      </c>
      <c r="C42" s="245" t="e">
        <f t="shared" ref="C42:G42" si="19">C36+C35+C41</f>
        <v>#N/A</v>
      </c>
      <c r="D42" s="245" t="e">
        <f t="shared" si="19"/>
        <v>#N/A</v>
      </c>
      <c r="E42" s="245" t="e">
        <f t="shared" si="19"/>
        <v>#N/A</v>
      </c>
      <c r="F42" s="245" t="e">
        <f t="shared" si="19"/>
        <v>#N/A</v>
      </c>
      <c r="G42" s="245" t="e">
        <f t="shared" si="19"/>
        <v>#N/A</v>
      </c>
      <c r="H42" s="245" t="e">
        <f>H36+H35+H41</f>
        <v>#N/A</v>
      </c>
      <c r="I42" s="1">
        <v>42</v>
      </c>
    </row>
    <row r="43" spans="1:9" x14ac:dyDescent="0.3">
      <c r="A43" s="3" t="s">
        <v>479</v>
      </c>
      <c r="B43" s="245" t="e">
        <f t="shared" ref="B43:H43" si="20">B42*B3/B2</f>
        <v>#N/A</v>
      </c>
      <c r="C43" s="245" t="e">
        <f t="shared" si="20"/>
        <v>#N/A</v>
      </c>
      <c r="D43" s="245" t="e">
        <f t="shared" si="20"/>
        <v>#N/A</v>
      </c>
      <c r="E43" s="245" t="e">
        <f t="shared" si="20"/>
        <v>#N/A</v>
      </c>
      <c r="F43" s="245" t="e">
        <f t="shared" si="20"/>
        <v>#N/A</v>
      </c>
      <c r="G43" s="245" t="e">
        <f t="shared" si="20"/>
        <v>#N/A</v>
      </c>
      <c r="H43" s="245" t="e">
        <f t="shared" si="20"/>
        <v>#N/A</v>
      </c>
      <c r="I43" s="1">
        <v>43</v>
      </c>
    </row>
  </sheetData>
  <customSheetViews>
    <customSheetView guid="{C6E026A6-065F-4BC7-8A1C-5537BAE31A06}" state="hidden">
      <pane xSplit="1" ySplit="1" topLeftCell="B51" activePane="bottomRight" state="frozenSplit"/>
      <selection pane="bottomRight" activeCell="D81" sqref="D81"/>
      <pageMargins left="0" right="0" top="0" bottom="0" header="0" footer="0"/>
      <pageSetup orientation="portrait" r:id="rId1"/>
    </customSheetView>
    <customSheetView guid="{C1E42E27-80DF-5D46-A74B-2BA4AA86045C}" state="hidden">
      <pane xSplit="1" ySplit="1" topLeftCell="B51" activePane="bottomRight" state="frozenSplit"/>
      <selection pane="bottomRight" activeCell="D81" sqref="D81"/>
      <pageMargins left="0" right="0" top="0" bottom="0" header="0" footer="0"/>
      <pageSetup orientation="portrait" r:id="rId2"/>
    </customSheetView>
  </customSheetView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B2:P21"/>
  <sheetViews>
    <sheetView workbookViewId="0">
      <selection activeCell="B2" sqref="B2"/>
    </sheetView>
  </sheetViews>
  <sheetFormatPr defaultColWidth="8.81640625" defaultRowHeight="14" x14ac:dyDescent="0.35"/>
  <cols>
    <col min="1" max="1" width="3.26953125" style="6" customWidth="1"/>
    <col min="2" max="2" width="36.1796875" style="34" customWidth="1"/>
    <col min="3" max="3" width="14.453125" style="31" customWidth="1"/>
    <col min="4" max="5" width="13.81640625" style="31" customWidth="1"/>
    <col min="6" max="6" width="14.81640625" style="31" customWidth="1"/>
    <col min="7" max="7" width="15.453125" style="31" customWidth="1"/>
    <col min="8" max="8" width="16.1796875" style="31" customWidth="1"/>
    <col min="9" max="9" width="14.453125" style="31" customWidth="1"/>
    <col min="10" max="10" width="1.1796875" style="31" customWidth="1"/>
    <col min="11" max="11" width="10.453125" style="30" hidden="1" customWidth="1"/>
    <col min="12" max="12" width="14.26953125" style="6" bestFit="1" customWidth="1"/>
    <col min="13" max="13" width="15.453125" style="6" bestFit="1" customWidth="1"/>
    <col min="14" max="14" width="14.26953125" style="6" bestFit="1" customWidth="1"/>
    <col min="15" max="15" width="15.81640625" style="6" bestFit="1" customWidth="1"/>
    <col min="16" max="16" width="0" style="6" hidden="1" customWidth="1"/>
    <col min="17" max="16384" width="8.81640625" style="6"/>
  </cols>
  <sheetData>
    <row r="2" spans="2:16" ht="32" x14ac:dyDescent="0.8">
      <c r="B2" s="121"/>
      <c r="C2" s="121" t="s">
        <v>11</v>
      </c>
      <c r="D2" s="246">
        <f>Input!C4</f>
        <v>0</v>
      </c>
      <c r="E2" s="39"/>
      <c r="F2" s="39"/>
      <c r="G2" s="39"/>
      <c r="H2" s="39"/>
      <c r="I2" s="39"/>
      <c r="J2" s="32"/>
    </row>
    <row r="3" spans="2:16" ht="14.5" customHeight="1" x14ac:dyDescent="0.35">
      <c r="C3" s="32"/>
    </row>
    <row r="4" spans="2:16" ht="61.75" customHeight="1" x14ac:dyDescent="0.3">
      <c r="C4" s="827" t="s">
        <v>12</v>
      </c>
      <c r="D4" s="829" t="s">
        <v>13</v>
      </c>
      <c r="E4" s="830"/>
      <c r="F4" s="829" t="s">
        <v>14</v>
      </c>
      <c r="G4" s="830"/>
      <c r="H4" s="831" t="s">
        <v>15</v>
      </c>
      <c r="I4" s="832"/>
      <c r="J4" s="750"/>
      <c r="K4" s="828" t="e">
        <f>DropDowns_LookUps!#REF!</f>
        <v>#REF!</v>
      </c>
      <c r="L4" s="826" t="s">
        <v>1070</v>
      </c>
      <c r="M4" s="826"/>
      <c r="N4" s="826"/>
      <c r="O4" s="826"/>
    </row>
    <row r="5" spans="2:16" ht="58.75" customHeight="1" x14ac:dyDescent="0.3">
      <c r="B5" s="754" t="s">
        <v>16</v>
      </c>
      <c r="C5" s="827"/>
      <c r="D5" s="36" t="s">
        <v>17</v>
      </c>
      <c r="E5" s="37" t="s">
        <v>18</v>
      </c>
      <c r="F5" s="36" t="s">
        <v>19</v>
      </c>
      <c r="G5" s="37" t="s">
        <v>20</v>
      </c>
      <c r="H5" s="36" t="s">
        <v>21</v>
      </c>
      <c r="I5" s="35" t="s">
        <v>22</v>
      </c>
      <c r="J5" s="749"/>
      <c r="K5" s="828"/>
      <c r="L5" s="35" t="str">
        <f>DropDowns_LookUps!V2</f>
        <v>Weekly Yard Waste, ASP System</v>
      </c>
      <c r="M5" s="35" t="str">
        <f>DropDowns_LookUps!V3</f>
        <v>Weekly Yard Waste, Windrow System</v>
      </c>
      <c r="N5" s="35" t="str">
        <f>DropDowns_LookUps!V4</f>
        <v>Weekly Yard &amp; Food Waste, ASP System</v>
      </c>
      <c r="O5" s="35" t="str">
        <f>DropDowns_LookUps!V5</f>
        <v>Weekly Yard &amp; Food Waste, Windrow System</v>
      </c>
    </row>
    <row r="6" spans="2:16" ht="17.149999999999999" customHeight="1" x14ac:dyDescent="0.3">
      <c r="B6" s="68" t="s">
        <v>23</v>
      </c>
      <c r="C6" s="61" t="e">
        <f>ROUND(TonnageImpacts!C13,-1)</f>
        <v>#N/A</v>
      </c>
      <c r="D6" s="41" t="e">
        <f>ROUND(TonnageImpacts!D13,-1)</f>
        <v>#N/A</v>
      </c>
      <c r="E6" s="40" t="e">
        <f>ROUND(TonnageImpacts!E13,-1)</f>
        <v>#N/A</v>
      </c>
      <c r="F6" s="41" t="e">
        <f>ROUND(TonnageImpacts!F13,-1)</f>
        <v>#N/A</v>
      </c>
      <c r="G6" s="40" t="e">
        <f>ROUND(TonnageImpacts!G13,-1)</f>
        <v>#N/A</v>
      </c>
      <c r="H6" s="41" t="e">
        <f>ROUND(TonnageImpacts!H13,-1)</f>
        <v>#N/A</v>
      </c>
      <c r="I6" s="42" t="e">
        <f>ROUND(TonnageImpacts!I13,-1)</f>
        <v>#N/A</v>
      </c>
      <c r="J6" s="717"/>
      <c r="K6" s="117" t="e">
        <f>ROUND(TonnageImpacts!K13,-1)</f>
        <v>#N/A</v>
      </c>
      <c r="L6" s="42" t="e">
        <f>ROUND(TonnageImpacts!L13,-1)</f>
        <v>#N/A</v>
      </c>
      <c r="M6" s="42" t="e">
        <f>ROUND(TonnageImpacts!M13,-1)</f>
        <v>#N/A</v>
      </c>
      <c r="N6" s="42" t="e">
        <f>ROUND(TonnageImpacts!N13,-1)</f>
        <v>#N/A</v>
      </c>
      <c r="O6" s="42" t="e">
        <f>ROUND(TonnageImpacts!O13,-1)</f>
        <v>#N/A</v>
      </c>
      <c r="P6" s="6" t="s">
        <v>490</v>
      </c>
    </row>
    <row r="7" spans="2:16" ht="28.5" customHeight="1" x14ac:dyDescent="0.3">
      <c r="B7" s="68" t="s">
        <v>24</v>
      </c>
      <c r="C7" s="61" t="e">
        <f>(C6*2000)/Input!$C$8</f>
        <v>#N/A</v>
      </c>
      <c r="D7" s="41" t="e">
        <f>(D6*2000)/Input!$C$8</f>
        <v>#N/A</v>
      </c>
      <c r="E7" s="40" t="e">
        <f>(E6*2000)/Input!$C$8</f>
        <v>#N/A</v>
      </c>
      <c r="F7" s="41" t="e">
        <f>(F6*2000)/Input!$C$8</f>
        <v>#N/A</v>
      </c>
      <c r="G7" s="40" t="e">
        <f>(G6*2000)/Input!$C$8</f>
        <v>#N/A</v>
      </c>
      <c r="H7" s="41" t="e">
        <f>(H6*2000)/Input!$C$8</f>
        <v>#N/A</v>
      </c>
      <c r="I7" s="42" t="e">
        <f>(I6*2000)/Input!$C$8</f>
        <v>#N/A</v>
      </c>
      <c r="J7" s="717"/>
      <c r="K7" s="117" t="e">
        <f>(K6*2000)/Input!$C$8</f>
        <v>#N/A</v>
      </c>
      <c r="L7" s="42" t="e">
        <f>(L6*2000)/Input!$C$8</f>
        <v>#N/A</v>
      </c>
      <c r="M7" s="42" t="e">
        <f>(M6*2000)/Input!$C$8</f>
        <v>#N/A</v>
      </c>
      <c r="N7" s="42" t="e">
        <f>(N6*2000)/Input!$C$8</f>
        <v>#N/A</v>
      </c>
      <c r="O7" s="42" t="e">
        <f>(O6*2000)/Input!$C$8</f>
        <v>#N/A</v>
      </c>
      <c r="P7" s="6" t="s">
        <v>490</v>
      </c>
    </row>
    <row r="8" spans="2:16" ht="17.149999999999999" customHeight="1" x14ac:dyDescent="0.3">
      <c r="B8" s="69" t="s">
        <v>25</v>
      </c>
      <c r="C8" s="44"/>
      <c r="D8" s="43"/>
      <c r="E8" s="44"/>
      <c r="F8" s="43"/>
      <c r="G8" s="44"/>
      <c r="H8" s="43"/>
      <c r="I8" s="45"/>
      <c r="J8" s="718"/>
      <c r="K8" s="751"/>
      <c r="L8" s="753"/>
      <c r="M8" s="753"/>
      <c r="N8" s="753"/>
      <c r="O8" s="753"/>
      <c r="P8" s="6" t="s">
        <v>490</v>
      </c>
    </row>
    <row r="9" spans="2:16" ht="17.149999999999999" customHeight="1" x14ac:dyDescent="0.3">
      <c r="B9" s="68" t="s">
        <v>26</v>
      </c>
      <c r="C9" s="67" t="e">
        <f>Outputs!C10</f>
        <v>#N/A</v>
      </c>
      <c r="D9" s="47" t="e">
        <f>Outputs!D10</f>
        <v>#N/A</v>
      </c>
      <c r="E9" s="46" t="e">
        <f>Outputs!E10</f>
        <v>#N/A</v>
      </c>
      <c r="F9" s="47" t="e">
        <f>Outputs!F10</f>
        <v>#N/A</v>
      </c>
      <c r="G9" s="46" t="e">
        <f>Outputs!G10</f>
        <v>#N/A</v>
      </c>
      <c r="H9" s="47" t="e">
        <f>Outputs!H10</f>
        <v>#N/A</v>
      </c>
      <c r="I9" s="48" t="e">
        <f>Outputs!I10</f>
        <v>#N/A</v>
      </c>
      <c r="J9" s="719"/>
      <c r="K9" s="752" t="e">
        <f>Outputs!K10</f>
        <v>#N/A</v>
      </c>
      <c r="L9" s="48" t="e">
        <f>Outputs!L10</f>
        <v>#N/A</v>
      </c>
      <c r="M9" s="48" t="e">
        <f>Outputs!M10</f>
        <v>#N/A</v>
      </c>
      <c r="N9" s="48" t="e">
        <f>Outputs!N10</f>
        <v>#N/A</v>
      </c>
      <c r="O9" s="48" t="e">
        <f>Outputs!O10</f>
        <v>#N/A</v>
      </c>
      <c r="P9" s="6" t="s">
        <v>490</v>
      </c>
    </row>
    <row r="10" spans="2:16" ht="17.149999999999999" customHeight="1" x14ac:dyDescent="0.3">
      <c r="B10" s="68" t="s">
        <v>27</v>
      </c>
      <c r="C10" s="67" t="e">
        <f>ROUND(Outputs!C14,-2)</f>
        <v>#N/A</v>
      </c>
      <c r="D10" s="47" t="e">
        <f>ROUND(Outputs!D14,-2)</f>
        <v>#N/A</v>
      </c>
      <c r="E10" s="46" t="e">
        <f>ROUND(Outputs!E14,-2)</f>
        <v>#N/A</v>
      </c>
      <c r="F10" s="47" t="e">
        <f>ROUND(Outputs!F14,-2)</f>
        <v>#N/A</v>
      </c>
      <c r="G10" s="46" t="e">
        <f>ROUND(Outputs!G14,-2)</f>
        <v>#N/A</v>
      </c>
      <c r="H10" s="47" t="e">
        <f>ROUND(Outputs!H14,-2)</f>
        <v>#N/A</v>
      </c>
      <c r="I10" s="48" t="e">
        <f>ROUND(Outputs!I14,-2)</f>
        <v>#N/A</v>
      </c>
      <c r="J10" s="719"/>
      <c r="K10" s="752" t="e">
        <f>ROUND(Outputs!K14,-2)</f>
        <v>#REF!</v>
      </c>
      <c r="L10" s="48" t="e">
        <f>ROUND(Outputs!L14,-2)</f>
        <v>#N/A</v>
      </c>
      <c r="M10" s="48" t="e">
        <f>ROUND(Outputs!M14,-2)</f>
        <v>#N/A</v>
      </c>
      <c r="N10" s="48" t="e">
        <f>ROUND(Outputs!N14,-2)</f>
        <v>#N/A</v>
      </c>
      <c r="O10" s="48" t="e">
        <f>ROUND(Outputs!O14,-2)</f>
        <v>#N/A</v>
      </c>
      <c r="P10" s="6" t="s">
        <v>490</v>
      </c>
    </row>
    <row r="11" spans="2:16" ht="17.149999999999999" customHeight="1" x14ac:dyDescent="0.3">
      <c r="B11" s="68" t="s">
        <v>28</v>
      </c>
      <c r="C11" s="67" t="e">
        <f>ROUND((C9/Input!$C$8),1)</f>
        <v>#N/A</v>
      </c>
      <c r="D11" s="47" t="e">
        <f>ROUND((D9/Input!$C$8),1)</f>
        <v>#N/A</v>
      </c>
      <c r="E11" s="46" t="e">
        <f>ROUND((E9/Input!$C$8),1)</f>
        <v>#N/A</v>
      </c>
      <c r="F11" s="47" t="e">
        <f>ROUND((F9/Input!$C$8),1)</f>
        <v>#N/A</v>
      </c>
      <c r="G11" s="46" t="e">
        <f>ROUND((G9/Input!$C$8),1)</f>
        <v>#N/A</v>
      </c>
      <c r="H11" s="47" t="e">
        <f>ROUND((H9/Input!$C$8),1)</f>
        <v>#N/A</v>
      </c>
      <c r="I11" s="48" t="e">
        <f>ROUND((I9/Input!$C$8),1)</f>
        <v>#N/A</v>
      </c>
      <c r="J11" s="719"/>
      <c r="K11" s="752" t="e">
        <f>ROUND((K9/Input!$C$8),1)</f>
        <v>#N/A</v>
      </c>
      <c r="L11" s="48" t="e">
        <f>ROUND((L9/Input!$C$8),1)</f>
        <v>#N/A</v>
      </c>
      <c r="M11" s="48" t="e">
        <f>ROUND((M9/Input!$C$8),1)</f>
        <v>#N/A</v>
      </c>
      <c r="N11" s="48" t="e">
        <f>ROUND((N9/Input!$C$8),1)</f>
        <v>#N/A</v>
      </c>
      <c r="O11" s="48" t="e">
        <f>ROUND((O9/Input!$C$8),1)</f>
        <v>#N/A</v>
      </c>
      <c r="P11" s="6" t="s">
        <v>490</v>
      </c>
    </row>
    <row r="12" spans="2:16" ht="17.149999999999999" customHeight="1" x14ac:dyDescent="0.3">
      <c r="B12" s="68" t="s">
        <v>29</v>
      </c>
      <c r="C12" s="67" t="e">
        <f>ROUND(C9/C6,0)</f>
        <v>#N/A</v>
      </c>
      <c r="D12" s="47" t="e">
        <f t="shared" ref="D12:G12" si="0">ROUND(D9/D6,0)</f>
        <v>#N/A</v>
      </c>
      <c r="E12" s="46" t="e">
        <f t="shared" si="0"/>
        <v>#N/A</v>
      </c>
      <c r="F12" s="47" t="e">
        <f t="shared" si="0"/>
        <v>#N/A</v>
      </c>
      <c r="G12" s="46" t="e">
        <f t="shared" si="0"/>
        <v>#N/A</v>
      </c>
      <c r="H12" s="47" t="e">
        <f>ROUND(H9/H6,0)</f>
        <v>#N/A</v>
      </c>
      <c r="I12" s="48" t="e">
        <f>ROUND(I9/I6,0)</f>
        <v>#N/A</v>
      </c>
      <c r="J12" s="719"/>
      <c r="K12" s="752" t="e">
        <f>ROUND(K9/K6,0)</f>
        <v>#N/A</v>
      </c>
      <c r="L12" s="48" t="e">
        <f>ROUND(L9/L6,0)</f>
        <v>#N/A</v>
      </c>
      <c r="M12" s="48" t="e">
        <f>ROUND(M9/M6,0)</f>
        <v>#N/A</v>
      </c>
      <c r="N12" s="48" t="e">
        <f>ROUND(N9/N6,0)</f>
        <v>#N/A</v>
      </c>
      <c r="O12" s="48" t="e">
        <f>ROUND(O9/O6,0)</f>
        <v>#N/A</v>
      </c>
      <c r="P12" s="6" t="s">
        <v>490</v>
      </c>
    </row>
    <row r="13" spans="2:16" ht="17.149999999999999" customHeight="1" x14ac:dyDescent="0.3">
      <c r="B13" s="68" t="s">
        <v>30</v>
      </c>
      <c r="C13" s="67" t="e">
        <f>Outputs!C15</f>
        <v>#N/A</v>
      </c>
      <c r="D13" s="47" t="e">
        <f>Outputs!D15</f>
        <v>#N/A</v>
      </c>
      <c r="E13" s="46" t="e">
        <f>Outputs!E15</f>
        <v>#N/A</v>
      </c>
      <c r="F13" s="47" t="e">
        <f>Outputs!F15</f>
        <v>#N/A</v>
      </c>
      <c r="G13" s="46" t="e">
        <f>Outputs!G15</f>
        <v>#N/A</v>
      </c>
      <c r="H13" s="47" t="e">
        <f>Outputs!H15</f>
        <v>#N/A</v>
      </c>
      <c r="I13" s="48" t="e">
        <f>Outputs!I15</f>
        <v>#N/A</v>
      </c>
      <c r="J13" s="719"/>
      <c r="K13" s="752">
        <f>Outputs!K15</f>
        <v>197000</v>
      </c>
      <c r="L13" s="48" t="e">
        <f>Outputs!L15</f>
        <v>#N/A</v>
      </c>
      <c r="M13" s="48" t="e">
        <f>Outputs!M15</f>
        <v>#N/A</v>
      </c>
      <c r="N13" s="48" t="e">
        <f>Outputs!N15</f>
        <v>#N/A</v>
      </c>
      <c r="O13" s="48" t="e">
        <f>Outputs!O15</f>
        <v>#N/A</v>
      </c>
      <c r="P13" s="6" t="s">
        <v>490</v>
      </c>
    </row>
    <row r="14" spans="2:16" ht="17.149999999999999" customHeight="1" x14ac:dyDescent="0.3">
      <c r="C14" s="33"/>
      <c r="D14" s="33"/>
      <c r="E14" s="33"/>
      <c r="F14" s="33"/>
      <c r="G14" s="33"/>
      <c r="H14" s="33"/>
      <c r="I14" s="33"/>
      <c r="J14" s="33"/>
      <c r="K14" s="33"/>
      <c r="L14" s="33"/>
      <c r="M14" s="33"/>
      <c r="N14" s="33"/>
      <c r="O14" s="33"/>
    </row>
    <row r="15" spans="2:16" ht="23.15" customHeight="1" x14ac:dyDescent="0.6">
      <c r="B15" s="123" t="s">
        <v>31</v>
      </c>
      <c r="C15" s="70"/>
      <c r="D15" s="38"/>
      <c r="E15" s="38"/>
      <c r="F15" s="38"/>
      <c r="G15" s="38"/>
      <c r="H15" s="38"/>
      <c r="I15" s="38"/>
      <c r="J15" s="720"/>
      <c r="K15" s="248"/>
      <c r="L15" s="249"/>
      <c r="M15" s="249"/>
      <c r="N15" s="249"/>
      <c r="O15" s="249"/>
    </row>
    <row r="16" spans="2:16" ht="29.15" customHeight="1" x14ac:dyDescent="0.3">
      <c r="B16" s="68" t="s">
        <v>32</v>
      </c>
      <c r="C16" s="41" t="e">
        <f>Outputs!C23</f>
        <v>#N/A</v>
      </c>
      <c r="D16" s="42" t="e">
        <f>Outputs!D23</f>
        <v>#N/A</v>
      </c>
      <c r="E16" s="42" t="e">
        <f>Outputs!E23</f>
        <v>#N/A</v>
      </c>
      <c r="F16" s="42" t="e">
        <f>Outputs!F23</f>
        <v>#N/A</v>
      </c>
      <c r="G16" s="42" t="e">
        <f>Outputs!G23</f>
        <v>#N/A</v>
      </c>
      <c r="H16" s="42" t="e">
        <f>Outputs!H23</f>
        <v>#N/A</v>
      </c>
      <c r="I16" s="42" t="e">
        <f>Outputs!I23</f>
        <v>#N/A</v>
      </c>
      <c r="J16" s="721"/>
      <c r="K16" s="41">
        <f>Outputs!K23</f>
        <v>1</v>
      </c>
      <c r="L16" s="41" t="e">
        <f>Outputs!L23</f>
        <v>#N/A</v>
      </c>
      <c r="M16" s="41" t="e">
        <f>Outputs!M23</f>
        <v>#N/A</v>
      </c>
      <c r="N16" s="41" t="e">
        <f>Outputs!N23</f>
        <v>#N/A</v>
      </c>
      <c r="O16" s="41" t="e">
        <f>Outputs!O23</f>
        <v>#N/A</v>
      </c>
      <c r="P16" s="6" t="s">
        <v>490</v>
      </c>
    </row>
    <row r="17" spans="2:16" ht="17.149999999999999" customHeight="1" x14ac:dyDescent="0.3">
      <c r="B17" s="68" t="s">
        <v>33</v>
      </c>
      <c r="C17" s="41" t="e">
        <f>Outputs!C38+Outputs!C39+Outputs!C32</f>
        <v>#N/A</v>
      </c>
      <c r="D17" s="42" t="e">
        <f>Outputs!D38+Outputs!D39</f>
        <v>#N/A</v>
      </c>
      <c r="E17" s="42" t="e">
        <f>Outputs!E38+Outputs!E39</f>
        <v>#N/A</v>
      </c>
      <c r="F17" s="42" t="e">
        <f>Outputs!F38+Outputs!F39</f>
        <v>#N/A</v>
      </c>
      <c r="G17" s="42" t="e">
        <f>Outputs!G38+Outputs!G39</f>
        <v>#N/A</v>
      </c>
      <c r="H17" s="42" t="e">
        <f>Outputs!H38+Outputs!H39</f>
        <v>#N/A</v>
      </c>
      <c r="I17" s="42" t="e">
        <f>Outputs!I38+Outputs!I39</f>
        <v>#N/A</v>
      </c>
      <c r="J17" s="721"/>
      <c r="K17" s="41">
        <f>Outputs!K38+Outputs!K39</f>
        <v>1</v>
      </c>
      <c r="L17" s="41" t="e">
        <f>Outputs!L38+Outputs!L39</f>
        <v>#N/A</v>
      </c>
      <c r="M17" s="41" t="e">
        <f>Outputs!M38+Outputs!M39</f>
        <v>#N/A</v>
      </c>
      <c r="N17" s="41" t="e">
        <f>Outputs!N38+Outputs!N39</f>
        <v>#N/A</v>
      </c>
      <c r="O17" s="41" t="e">
        <f>Outputs!O38+Outputs!O39</f>
        <v>#N/A</v>
      </c>
      <c r="P17" s="6" t="s">
        <v>490</v>
      </c>
    </row>
    <row r="18" spans="2:16" ht="17.149999999999999" customHeight="1" x14ac:dyDescent="0.3">
      <c r="B18" s="68" t="s">
        <v>34</v>
      </c>
      <c r="C18" s="41">
        <f>Outputs!C29</f>
        <v>1</v>
      </c>
      <c r="D18" s="756" t="s">
        <v>35</v>
      </c>
      <c r="E18" s="756" t="s">
        <v>35</v>
      </c>
      <c r="F18" s="756" t="s">
        <v>35</v>
      </c>
      <c r="G18" s="756" t="s">
        <v>35</v>
      </c>
      <c r="H18" s="756" t="s">
        <v>35</v>
      </c>
      <c r="I18" s="756" t="s">
        <v>35</v>
      </c>
      <c r="J18" s="757"/>
      <c r="K18" s="758">
        <f>Outputs!K29</f>
        <v>0</v>
      </c>
      <c r="L18" s="756" t="s">
        <v>35</v>
      </c>
      <c r="M18" s="756" t="s">
        <v>35</v>
      </c>
      <c r="N18" s="756" t="s">
        <v>35</v>
      </c>
      <c r="O18" s="756" t="s">
        <v>35</v>
      </c>
      <c r="P18" s="6" t="s">
        <v>490</v>
      </c>
    </row>
    <row r="19" spans="2:16" ht="29.15" customHeight="1" x14ac:dyDescent="0.3">
      <c r="B19" s="68" t="s">
        <v>36</v>
      </c>
      <c r="C19" s="47" t="e">
        <f>ROUND(Outputs!C25,-2)</f>
        <v>#N/A</v>
      </c>
      <c r="D19" s="48" t="e">
        <f>ROUND(Outputs!D25,-2)</f>
        <v>#N/A</v>
      </c>
      <c r="E19" s="48" t="e">
        <f>ROUND(Outputs!E25,-2)</f>
        <v>#N/A</v>
      </c>
      <c r="F19" s="48" t="e">
        <f>ROUND(Outputs!F25,-2)</f>
        <v>#N/A</v>
      </c>
      <c r="G19" s="48" t="e">
        <f>ROUND(Outputs!G25,-2)</f>
        <v>#N/A</v>
      </c>
      <c r="H19" s="48" t="e">
        <f>ROUND(Outputs!H25,-2)</f>
        <v>#N/A</v>
      </c>
      <c r="I19" s="48" t="e">
        <f>ROUND(Outputs!I25,-2)</f>
        <v>#N/A</v>
      </c>
      <c r="J19" s="722"/>
      <c r="K19" s="47">
        <f>ROUND(Outputs!K25,-2)</f>
        <v>196600</v>
      </c>
      <c r="L19" s="47" t="e">
        <f>ROUND(Outputs!L25,-2)</f>
        <v>#N/A</v>
      </c>
      <c r="M19" s="47" t="e">
        <f>ROUND(Outputs!M25,-2)</f>
        <v>#N/A</v>
      </c>
      <c r="N19" s="47" t="e">
        <f>ROUND(Outputs!N25,-2)</f>
        <v>#N/A</v>
      </c>
      <c r="O19" s="47" t="e">
        <f>ROUND(Outputs!O25,-2)</f>
        <v>#N/A</v>
      </c>
      <c r="P19" s="6" t="s">
        <v>490</v>
      </c>
    </row>
    <row r="20" spans="2:16" ht="17.149999999999999" customHeight="1" x14ac:dyDescent="0.3">
      <c r="B20" s="68" t="s">
        <v>37</v>
      </c>
      <c r="C20" s="47" t="s">
        <v>38</v>
      </c>
      <c r="D20" s="48" t="e">
        <f>ROUND(Outputs!D18,-2)</f>
        <v>#N/A</v>
      </c>
      <c r="E20" s="48" t="e">
        <f>ROUND(Outputs!E18,-2)</f>
        <v>#N/A</v>
      </c>
      <c r="F20" s="48" t="e">
        <f>ROUND(Outputs!F18,-2)</f>
        <v>#N/A</v>
      </c>
      <c r="G20" s="48" t="e">
        <f>ROUND(Outputs!G18,-2)</f>
        <v>#N/A</v>
      </c>
      <c r="H20" s="48" t="e">
        <f>ROUND(Outputs!H18,-2)</f>
        <v>#N/A</v>
      </c>
      <c r="I20" s="48" t="e">
        <f>ROUND(Outputs!I18,-2)</f>
        <v>#N/A</v>
      </c>
      <c r="J20" s="722"/>
      <c r="K20" s="47" t="s">
        <v>38</v>
      </c>
      <c r="L20" s="48" t="e">
        <f>ROUND(Outputs!L18,-2)</f>
        <v>#N/A</v>
      </c>
      <c r="M20" s="48" t="e">
        <f>ROUND(Outputs!M18,-2)</f>
        <v>#N/A</v>
      </c>
      <c r="N20" s="48" t="e">
        <f>ROUND(Outputs!N18,-2)</f>
        <v>#N/A</v>
      </c>
      <c r="O20" s="48" t="e">
        <f>ROUND(Outputs!O18,-2)</f>
        <v>#N/A</v>
      </c>
      <c r="P20" s="6" t="s">
        <v>490</v>
      </c>
    </row>
    <row r="21" spans="2:16" ht="17.149999999999999" customHeight="1" x14ac:dyDescent="0.3">
      <c r="B21" s="96" t="s">
        <v>39</v>
      </c>
      <c r="C21" s="755" t="e">
        <f>ROUND(Outputs!C34,-2)+ROUND(Outputs!C20,-2)</f>
        <v>#N/A</v>
      </c>
      <c r="D21" s="48" t="s">
        <v>35</v>
      </c>
      <c r="E21" s="48" t="s">
        <v>35</v>
      </c>
      <c r="F21" s="48" t="s">
        <v>35</v>
      </c>
      <c r="G21" s="48" t="s">
        <v>35</v>
      </c>
      <c r="H21" s="48" t="s">
        <v>35</v>
      </c>
      <c r="I21" s="48" t="s">
        <v>35</v>
      </c>
      <c r="J21" s="723"/>
      <c r="K21" s="97">
        <f>ROUND(Outputs!K34,-2)+ROUND(Outputs!K18,-2)</f>
        <v>0</v>
      </c>
      <c r="L21" s="48" t="s">
        <v>35</v>
      </c>
      <c r="M21" s="48" t="s">
        <v>35</v>
      </c>
      <c r="N21" s="48" t="s">
        <v>35</v>
      </c>
      <c r="O21" s="48" t="s">
        <v>35</v>
      </c>
      <c r="P21" s="6" t="s">
        <v>490</v>
      </c>
    </row>
  </sheetData>
  <sheetProtection algorithmName="SHA-512" hashValue="iu2tAw9UDqMvX6RVKmuLoQ/kWfIMIrw/sJi6Yjf/53N9xH+ycZIFRCgtsk/b9yc29Ikb8SKYtsxfD2XHX7B3OA==" saltValue="6YMPjH4EY7BUgeasGcswnA==" spinCount="100000" sheet="1" objects="1" scenarios="1" selectLockedCells="1"/>
  <customSheetViews>
    <customSheetView guid="{C6E026A6-065F-4BC7-8A1C-5537BAE31A06}" showGridLines="0" showRowCol="0" fitToPage="1">
      <selection activeCell="D8" sqref="D8"/>
      <pageMargins left="0" right="0" top="0" bottom="0" header="0" footer="0"/>
      <pageSetup scale="88" fitToHeight="0" orientation="landscape" horizontalDpi="4294967293" verticalDpi="0" r:id="rId1"/>
    </customSheetView>
    <customSheetView guid="{C1E42E27-80DF-5D46-A74B-2BA4AA86045C}" showGridLines="0" showRowCol="0" fitToPage="1">
      <selection activeCell="D8" sqref="D8"/>
      <pageMargins left="0" right="0" top="0" bottom="0" header="0" footer="0"/>
      <pageSetup scale="88" fitToHeight="0" orientation="landscape" horizontalDpi="4294967293" verticalDpi="0" r:id="rId2"/>
    </customSheetView>
  </customSheetViews>
  <mergeCells count="6">
    <mergeCell ref="L4:O4"/>
    <mergeCell ref="C4:C5"/>
    <mergeCell ref="K4:K5"/>
    <mergeCell ref="D4:E4"/>
    <mergeCell ref="F4:G4"/>
    <mergeCell ref="H4:I4"/>
  </mergeCells>
  <pageMargins left="0.7" right="0.7" top="0.75" bottom="0.75" header="0.3" footer="0.3"/>
  <pageSetup scale="88" fitToHeight="0" orientation="landscape" horizontalDpi="4294967293"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B1:P21"/>
  <sheetViews>
    <sheetView topLeftCell="B1" workbookViewId="0">
      <selection activeCell="C5" sqref="C5:F5"/>
    </sheetView>
  </sheetViews>
  <sheetFormatPr defaultColWidth="8.81640625" defaultRowHeight="13" x14ac:dyDescent="0.3"/>
  <cols>
    <col min="1" max="1" width="3.26953125" style="6" customWidth="1"/>
    <col min="2" max="2" width="48" style="31" customWidth="1"/>
    <col min="3" max="3" width="21" style="31" customWidth="1"/>
    <col min="4" max="4" width="14.81640625" style="31" customWidth="1"/>
    <col min="5" max="5" width="13.81640625" style="31" customWidth="1"/>
    <col min="6" max="6" width="14.81640625" style="6" customWidth="1"/>
    <col min="7" max="7" width="21.7265625" style="6" customWidth="1"/>
    <col min="8" max="8" width="14.81640625" style="6" hidden="1" customWidth="1"/>
    <col min="9" max="10" width="14.81640625" style="6" customWidth="1"/>
    <col min="11" max="11" width="8" style="6" customWidth="1"/>
    <col min="12" max="12" width="15.453125" style="6" hidden="1" customWidth="1"/>
    <col min="13" max="13" width="15.1796875" style="6" hidden="1" customWidth="1"/>
    <col min="14" max="16" width="8.81640625" style="6" hidden="1" customWidth="1"/>
    <col min="17" max="23" width="8.81640625" style="6" customWidth="1"/>
    <col min="24" max="16384" width="8.81640625" style="6"/>
  </cols>
  <sheetData>
    <row r="1" spans="2:16" x14ac:dyDescent="0.3">
      <c r="B1" s="49"/>
      <c r="C1" s="49"/>
      <c r="D1" s="49"/>
      <c r="E1" s="49"/>
    </row>
    <row r="2" spans="2:16" ht="32" x14ac:dyDescent="0.8">
      <c r="B2" s="121"/>
      <c r="C2" s="121" t="s">
        <v>40</v>
      </c>
      <c r="D2" s="246">
        <f>Input!C4</f>
        <v>0</v>
      </c>
      <c r="E2" s="73"/>
      <c r="F2" s="789"/>
      <c r="G2" s="789"/>
      <c r="H2" s="789"/>
      <c r="I2" s="789"/>
      <c r="J2" s="789"/>
    </row>
    <row r="3" spans="2:16" x14ac:dyDescent="0.3">
      <c r="B3" s="49"/>
      <c r="C3" s="790"/>
      <c r="D3" s="790"/>
      <c r="E3" s="790"/>
    </row>
    <row r="4" spans="2:16" ht="45.75" customHeight="1" x14ac:dyDescent="0.3">
      <c r="B4" s="791" t="s">
        <v>41</v>
      </c>
      <c r="C4" s="792"/>
      <c r="D4" s="792"/>
      <c r="E4" s="792"/>
      <c r="F4" s="793"/>
      <c r="G4" s="794"/>
      <c r="H4" s="794"/>
      <c r="I4" s="794"/>
      <c r="J4" s="794"/>
    </row>
    <row r="5" spans="2:16" ht="14" x14ac:dyDescent="0.35">
      <c r="B5" s="795" t="s">
        <v>42</v>
      </c>
      <c r="C5" s="833" t="s">
        <v>47</v>
      </c>
      <c r="D5" s="834"/>
      <c r="E5" s="834"/>
      <c r="F5" s="835"/>
      <c r="G5" s="857" t="s">
        <v>528</v>
      </c>
      <c r="H5" s="858"/>
      <c r="I5" s="858"/>
      <c r="J5" s="858"/>
      <c r="K5" s="30"/>
    </row>
    <row r="6" spans="2:16" ht="14" x14ac:dyDescent="0.35">
      <c r="B6" s="796" t="s">
        <v>43</v>
      </c>
      <c r="C6" s="836" t="e">
        <f>ROUND(HLOOKUP(C5,Outputs!C5:I6, 2, FALSE),-1)</f>
        <v>#N/A</v>
      </c>
      <c r="D6" s="837"/>
      <c r="E6" s="837"/>
      <c r="F6" s="838"/>
      <c r="G6" s="839" t="e">
        <f>ROUND(HLOOKUP(G5,Outputs!K5:O6, 2, FALSE),-1)</f>
        <v>#N/A</v>
      </c>
      <c r="H6" s="840"/>
      <c r="I6" s="840"/>
      <c r="J6" s="840"/>
      <c r="K6" s="30"/>
    </row>
    <row r="7" spans="2:16" ht="14" x14ac:dyDescent="0.35">
      <c r="B7" s="797"/>
      <c r="C7" s="49"/>
      <c r="D7" s="49"/>
      <c r="E7" s="49"/>
      <c r="K7" s="30"/>
    </row>
    <row r="8" spans="2:16" ht="37.5" x14ac:dyDescent="0.35">
      <c r="B8" s="791" t="s">
        <v>16</v>
      </c>
      <c r="C8" s="798" t="s">
        <v>1074</v>
      </c>
      <c r="D8" s="799" t="s">
        <v>44</v>
      </c>
      <c r="E8" s="800" t="s">
        <v>45</v>
      </c>
      <c r="F8" s="800" t="s">
        <v>46</v>
      </c>
      <c r="G8" s="801" t="s">
        <v>1074</v>
      </c>
      <c r="H8" s="801" t="s">
        <v>44</v>
      </c>
      <c r="I8" s="801" t="s">
        <v>496</v>
      </c>
      <c r="J8" s="801" t="s">
        <v>497</v>
      </c>
      <c r="K8" s="30"/>
      <c r="L8" s="800" t="s">
        <v>45</v>
      </c>
      <c r="M8" s="800" t="s">
        <v>46</v>
      </c>
      <c r="P8" s="31" t="s">
        <v>47</v>
      </c>
    </row>
    <row r="9" spans="2:16" ht="17.149999999999999" customHeight="1" x14ac:dyDescent="0.35">
      <c r="B9" s="66" t="s">
        <v>48</v>
      </c>
      <c r="C9" s="802" t="e">
        <f>HLOOKUP($C$5,Outputs!$C$5:$I$68,59,FALSE)</f>
        <v>#N/A</v>
      </c>
      <c r="D9" s="803" t="e">
        <f>HLOOKUP($C$5,Outputs!$C$5:$I$61,46, FALSE)</f>
        <v>#N/A</v>
      </c>
      <c r="E9" s="803" t="e">
        <f>IF(OR($C$5=$P$9,$C$5=$P$10,$C$5=$P$11,$C$5=$P$12,$C$5=$P$8),L9,"N/A")</f>
        <v>#N/A</v>
      </c>
      <c r="F9" s="803" t="e">
        <f>IF(OR($C$5=$P$8,$C$5=$P$13,$C$5=$P$14),M9,"N/A")</f>
        <v>#N/A</v>
      </c>
      <c r="G9" s="804" t="e">
        <f>HLOOKUP($G$5,Outputs!$C$5:$O$66,59, FALSE)</f>
        <v>#N/A</v>
      </c>
      <c r="H9" s="803" t="e">
        <f>HLOOKUP($G$5,Outputs!$C$5:$O$61,47, FALSE)</f>
        <v>#REF!</v>
      </c>
      <c r="I9" s="803" t="e">
        <f>IF(OR($G$5=$P$17,$G$5=$P$19),L17,"N/A")</f>
        <v>#N/A</v>
      </c>
      <c r="J9" s="803" t="str">
        <f>IF(OR($G$5=$P$18,$G$5=$P$20),M17,"N/A")</f>
        <v>N/A</v>
      </c>
      <c r="K9" s="30"/>
      <c r="L9" s="803" t="e">
        <f>IF(C6&lt;10500,"NOT FEASIBLE",HLOOKUP($C$5,Outputs!$C$5:$I$61,55, FALSE))</f>
        <v>#N/A</v>
      </c>
      <c r="M9" s="803" t="e">
        <f>IF(C6&lt;22500,"NOT FEASIBLE",HLOOKUP($C$5,Outputs!$C$5:$I$61,55, FALSE))</f>
        <v>#N/A</v>
      </c>
      <c r="P9" s="31" t="s">
        <v>17</v>
      </c>
    </row>
    <row r="10" spans="2:16" ht="17.149999999999999" customHeight="1" x14ac:dyDescent="0.35">
      <c r="B10" s="66" t="s">
        <v>49</v>
      </c>
      <c r="C10" s="802" t="e">
        <f>IF(C9="0","$0",C11/Input!$C$8)</f>
        <v>#N/A</v>
      </c>
      <c r="D10" s="803" t="e">
        <f>HLOOKUP($C$5,Outputs!$C$5:$I$61,47, FALSE)</f>
        <v>#N/A</v>
      </c>
      <c r="E10" s="803" t="e">
        <f>IF(OR($C$5=$P$9,$C$5=$P$10,$C$5=$P$11,$C$5=$P$12,$C$5=$P$8),L10,"N/A")</f>
        <v>#N/A</v>
      </c>
      <c r="F10" s="803" t="e">
        <f>IF(OR($C$5=$P$8,$C$5=$P$13,$C$5=$P$14),M10,"N/A")</f>
        <v>#N/A</v>
      </c>
      <c r="G10" s="805" t="e">
        <f>IF(G9="0","$0",G11/Input!$C$8)</f>
        <v>#N/A</v>
      </c>
      <c r="H10" s="803">
        <f>HLOOKUP($G$5,Outputs!$C$5:$O$61,48, FALSE)</f>
        <v>0</v>
      </c>
      <c r="I10" s="803" t="e">
        <f>IF(OR($G$5=$P$17,$G$5=$P$19),L18,"N/A")</f>
        <v>#N/A</v>
      </c>
      <c r="J10" s="803" t="str">
        <f t="shared" ref="J10:J12" si="0">IF(OR($G$5=$P$18,$G$5=$P$20),M18,"N/A")</f>
        <v>N/A</v>
      </c>
      <c r="K10" s="30"/>
      <c r="L10" s="803" t="e">
        <f>IF(C6&lt;10500,"NOT FEASIBLE",HLOOKUP($C$5,Outputs!$C$5:$I$61,54, FALSE))</f>
        <v>#N/A</v>
      </c>
      <c r="M10" s="803" t="e">
        <f>IF(C6&lt;22500,"NOT FEASIBLE",HLOOKUP($C$5,Outputs!$C$5:$I$61,54, FALSE))</f>
        <v>#N/A</v>
      </c>
      <c r="P10" s="31" t="s">
        <v>18</v>
      </c>
    </row>
    <row r="11" spans="2:16" ht="17.149999999999999" customHeight="1" x14ac:dyDescent="0.35">
      <c r="B11" s="806" t="s">
        <v>1062</v>
      </c>
      <c r="C11" s="802" t="e">
        <f>ROUND(HLOOKUP($C$5,Outputs!$C$5:$I$69,65,FALSE),-3)</f>
        <v>#N/A</v>
      </c>
      <c r="D11" s="807" t="e">
        <f>HLOOKUP($C$5,Outputs!$C$5:$I$61,43, FALSE)</f>
        <v>#N/A</v>
      </c>
      <c r="E11" s="803" t="e">
        <f>IF(OR($C$5=$P$9,$C$5=$P$10,$C$5=$P$11,$C$5=$P$12,$C$5=$P$8),L11,"N/A")</f>
        <v>#N/A</v>
      </c>
      <c r="F11" s="803" t="e">
        <f>IF(OR($C$5=$P$8,$C$5=$P$13,$C$5=$P$14),M11,"N/A")</f>
        <v>#N/A</v>
      </c>
      <c r="G11" s="805" t="e">
        <f>ROUND(HLOOKUP($G$5,Outputs!$C$5:$O$69,65,FALSE),-3)</f>
        <v>#N/A</v>
      </c>
      <c r="H11" s="803" t="e">
        <f>ROUND(HLOOKUP($G$5,Outputs!$C$5:$O$61,40, FALSE),-3)</f>
        <v>#REF!</v>
      </c>
      <c r="I11" s="803" t="e">
        <f>IF(OR($G$5=$P$17,$G$5=$P$19),L19,"N/A")</f>
        <v>#N/A</v>
      </c>
      <c r="J11" s="803" t="str">
        <f>IF(OR($G$5=$P$18,$G$5=$P$20),M19,"N/A")</f>
        <v>N/A</v>
      </c>
      <c r="K11" s="30"/>
      <c r="L11" s="803" t="e">
        <f>IF(C6&lt;10500,"NOT FEASIBLE",HLOOKUP($C$5,Outputs!$C$5:$I$61,53, FALSE))</f>
        <v>#N/A</v>
      </c>
      <c r="M11" s="803" t="e">
        <f>IF(C6&lt;22500,"NOT FEASIBLE",HLOOKUP($C$5,Outputs!$C$5:$I$61,53, FALSE))</f>
        <v>#N/A</v>
      </c>
      <c r="P11" s="31" t="s">
        <v>19</v>
      </c>
    </row>
    <row r="12" spans="2:16" ht="17.149999999999999" customHeight="1" x14ac:dyDescent="0.3">
      <c r="B12" s="806" t="s">
        <v>1047</v>
      </c>
      <c r="C12" s="802" t="e">
        <f>ROUND(HLOOKUP($C$5,Outputs!$C$5:$I$67,63,FALSE),-3)</f>
        <v>#N/A</v>
      </c>
      <c r="D12" s="807" t="e">
        <f>HLOOKUP($C$5,Outputs!$C$5:$I$61,40, FALSE)</f>
        <v>#N/A</v>
      </c>
      <c r="E12" s="803" t="e">
        <f>IF(OR($C$5=$P$9,$C$5=$P$10,$C$5=$P$11,$C$5=$P$12,$C$5=$P$8),L12,"N/A")</f>
        <v>#N/A</v>
      </c>
      <c r="F12" s="803" t="e">
        <f>IF(OR($C$5=$P$8,$C$5=$P$13,$C$5=$P$14),M12,"N/A")</f>
        <v>#N/A</v>
      </c>
      <c r="G12" s="805" t="e">
        <f>ROUND(HLOOKUP($G$5,Outputs!$C$5:$O$69,63,FALSE),-3)</f>
        <v>#N/A</v>
      </c>
      <c r="H12" s="803"/>
      <c r="I12" s="803" t="e">
        <f>IF(OR($G$5=$P$17,$G$5=$P$19),L20,"N/A")</f>
        <v>#N/A</v>
      </c>
      <c r="J12" s="803" t="str">
        <f t="shared" si="0"/>
        <v>N/A</v>
      </c>
      <c r="L12" s="803" t="e">
        <f>IF(C6&lt;10500,"NOT FEASIBLE",HLOOKUP($C$5,Outputs!B5:I69,52,FALSE))</f>
        <v>#N/A</v>
      </c>
      <c r="M12" s="803" t="e">
        <f>IF(C6&lt;22500,"NOT FEASIBLE",HLOOKUP($C$5,Outputs!B5:I69,52,FALSE))</f>
        <v>#N/A</v>
      </c>
      <c r="P12" s="31" t="s">
        <v>20</v>
      </c>
    </row>
    <row r="13" spans="2:16" ht="17.149999999999999" customHeight="1" x14ac:dyDescent="0.3">
      <c r="B13" s="806"/>
      <c r="C13" s="802"/>
      <c r="D13" s="807"/>
      <c r="E13" s="803"/>
      <c r="F13" s="803"/>
      <c r="G13" s="805"/>
      <c r="H13" s="803"/>
      <c r="I13" s="803"/>
      <c r="J13" s="803"/>
      <c r="L13" s="808"/>
      <c r="M13" s="809"/>
      <c r="P13" s="31" t="s">
        <v>21</v>
      </c>
    </row>
    <row r="14" spans="2:16" ht="17.149999999999999" customHeight="1" x14ac:dyDescent="0.35">
      <c r="B14" s="60"/>
      <c r="C14" s="810"/>
      <c r="D14" s="811"/>
      <c r="E14" s="811"/>
      <c r="F14" s="811"/>
      <c r="G14" s="812"/>
      <c r="H14" s="813"/>
      <c r="I14" s="813"/>
      <c r="J14" s="813"/>
      <c r="M14" s="776"/>
      <c r="P14" s="31" t="s">
        <v>22</v>
      </c>
    </row>
    <row r="15" spans="2:16" x14ac:dyDescent="0.3">
      <c r="B15" s="814"/>
      <c r="C15" s="815"/>
      <c r="D15" s="816"/>
      <c r="E15" s="817"/>
      <c r="F15" s="818"/>
      <c r="G15" s="819"/>
      <c r="H15" s="819"/>
      <c r="I15" s="819"/>
      <c r="J15" s="819"/>
    </row>
    <row r="16" spans="2:16" ht="37.5" hidden="1" x14ac:dyDescent="0.3">
      <c r="B16" s="814"/>
      <c r="C16" s="820"/>
      <c r="D16" s="821"/>
      <c r="E16" s="821"/>
      <c r="F16" s="821"/>
      <c r="G16" s="821"/>
      <c r="H16" s="821"/>
      <c r="I16" s="821"/>
      <c r="J16" s="821"/>
      <c r="L16" s="801" t="s">
        <v>534</v>
      </c>
      <c r="M16" s="801" t="s">
        <v>535</v>
      </c>
      <c r="P16" s="31"/>
    </row>
    <row r="17" spans="7:16" x14ac:dyDescent="0.3">
      <c r="L17" s="822" t="e">
        <f>IF(G6&lt;1250,"NOT FEASIBLE",HLOOKUP($G$5,Outputs!$C$5:$O$61,55, FALSE))</f>
        <v>#N/A</v>
      </c>
      <c r="M17" s="822" t="e">
        <f>IF(G6&lt;1250,"NOT FEASIBLE",HLOOKUP($G$5,Outputs!$C$5:$O$61,55, FALSE))</f>
        <v>#N/A</v>
      </c>
      <c r="N17" s="6" t="s">
        <v>490</v>
      </c>
      <c r="P17" s="31" t="str">
        <f>DropDowns_LookUps!V2</f>
        <v>Weekly Yard Waste, ASP System</v>
      </c>
    </row>
    <row r="18" spans="7:16" x14ac:dyDescent="0.3">
      <c r="G18" s="823"/>
      <c r="L18" s="822" t="e">
        <f>IF(G6&lt;1250,"NOT FEASIBLE",HLOOKUP($G$5,Outputs!$C$5:$O$61,54, FALSE))</f>
        <v>#N/A</v>
      </c>
      <c r="M18" s="822" t="e">
        <f>IF(G6&lt;1250,"NOT FEASIBLE",HLOOKUP($G$5,Outputs!$C$5:$O$61,54, FALSE))</f>
        <v>#N/A</v>
      </c>
      <c r="N18" s="6" t="s">
        <v>490</v>
      </c>
      <c r="P18" s="31" t="str">
        <f>DropDowns_LookUps!V3</f>
        <v>Weekly Yard Waste, Windrow System</v>
      </c>
    </row>
    <row r="19" spans="7:16" x14ac:dyDescent="0.3">
      <c r="L19" s="822" t="e">
        <f>IF(G6&lt;1250,"NOT FEASIBLE",HLOOKUP($G$5,Outputs!$C$5:$O$61,53, FALSE))</f>
        <v>#N/A</v>
      </c>
      <c r="M19" s="822" t="e">
        <f>IF(G6&lt;1250,"NOT FEASIBLE",HLOOKUP($G$5,Outputs!$C$5:$O$61,53, FALSE))</f>
        <v>#N/A</v>
      </c>
      <c r="N19" s="6" t="s">
        <v>490</v>
      </c>
      <c r="P19" s="31" t="str">
        <f>DropDowns_LookUps!V4</f>
        <v>Weekly Yard &amp; Food Waste, ASP System</v>
      </c>
    </row>
    <row r="20" spans="7:16" x14ac:dyDescent="0.3">
      <c r="G20" s="824"/>
      <c r="L20" s="822" t="e">
        <f>IF(G6&lt;1250,"NOT FEASIBLE",HLOOKUP($G$5,Outputs!$C$5:$O$61,52, FALSE))</f>
        <v>#N/A</v>
      </c>
      <c r="M20" s="822" t="e">
        <f>IF(G6&lt;1250,"NOT FEASIBLE",HLOOKUP($G$5,Outputs!$C$5:$O$61,52, FALSE))</f>
        <v>#N/A</v>
      </c>
      <c r="N20" s="6" t="s">
        <v>490</v>
      </c>
      <c r="P20" s="31" t="str">
        <f>DropDowns_LookUps!V5</f>
        <v>Weekly Yard &amp; Food Waste, Windrow System</v>
      </c>
    </row>
    <row r="21" spans="7:16" x14ac:dyDescent="0.3">
      <c r="G21" s="825"/>
      <c r="L21" s="811"/>
      <c r="M21" s="811"/>
    </row>
  </sheetData>
  <sheetProtection algorithmName="SHA-512" hashValue="17DcCmnqHxEa2tNwBMxmh2rUuhYnqvBVfBEDN4NGNvHJpQJ3LfaUist9bYWDDnfwrVgasno/OBqTeCwJyw9ynQ==" saltValue="vRVD5219MCP3nUnAgmzGuQ==" spinCount="100000" sheet="1" objects="1" scenarios="1" selectLockedCells="1"/>
  <customSheetViews>
    <customSheetView guid="{C6E026A6-065F-4BC7-8A1C-5537BAE31A06}" scale="110" showGridLines="0" showRowCol="0" hiddenRows="1" topLeftCell="A45">
      <selection activeCell="C7" sqref="C7"/>
      <pageMargins left="0" right="0" top="0" bottom="0" header="0" footer="0"/>
      <pageSetup orientation="portrait" horizontalDpi="4294967293" verticalDpi="0" r:id="rId1"/>
    </customSheetView>
    <customSheetView guid="{C1E42E27-80DF-5D46-A74B-2BA4AA86045C}" scale="110" showGridLines="0" showRowCol="0" hiddenRows="1" topLeftCell="A45">
      <selection activeCell="C7" sqref="C7"/>
      <pageMargins left="0" right="0" top="0" bottom="0" header="0" footer="0"/>
      <pageSetup orientation="portrait" horizontalDpi="4294967293" verticalDpi="0" r:id="rId2"/>
    </customSheetView>
  </customSheetViews>
  <mergeCells count="4">
    <mergeCell ref="C5:F5"/>
    <mergeCell ref="G5:J5"/>
    <mergeCell ref="C6:F6"/>
    <mergeCell ref="G6:J6"/>
  </mergeCells>
  <pageMargins left="0.7" right="0.7" top="0.75" bottom="0.75" header="0.3" footer="0.3"/>
  <pageSetup orientation="portrait" horizontalDpi="4294967293"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DropDowns_LookUps!$O$2:$O$8</xm:f>
          </x14:formula1>
          <xm:sqref>C5</xm:sqref>
        </x14:dataValidation>
        <x14:dataValidation type="list" allowBlank="1" showInputMessage="1" showErrorMessage="1" xr:uid="{6D70FB4E-D4AE-4BDD-8158-CD13A76B1B11}">
          <x14:formula1>
            <xm:f>DropDowns_LookUps!$V$2:$V$5</xm:f>
          </x14:formula1>
          <xm:sqref>G5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P69"/>
  <sheetViews>
    <sheetView topLeftCell="B54" workbookViewId="0">
      <selection activeCell="L68" sqref="L68"/>
    </sheetView>
  </sheetViews>
  <sheetFormatPr defaultColWidth="8.81640625" defaultRowHeight="11.5" x14ac:dyDescent="0.25"/>
  <cols>
    <col min="1" max="1" width="1.1796875" style="612" customWidth="1"/>
    <col min="2" max="2" width="49.453125" style="612" bestFit="1" customWidth="1"/>
    <col min="3" max="3" width="17.26953125" style="612" customWidth="1"/>
    <col min="4" max="4" width="18.1796875" style="612" customWidth="1"/>
    <col min="5" max="5" width="13.81640625" style="612" customWidth="1"/>
    <col min="6" max="7" width="15.453125" style="612" bestFit="1" customWidth="1"/>
    <col min="8" max="8" width="17.453125" style="612" customWidth="1"/>
    <col min="9" max="9" width="13.81640625" style="612" customWidth="1"/>
    <col min="10" max="10" width="3.1796875" style="612" bestFit="1" customWidth="1"/>
    <col min="11" max="11" width="13.7265625" style="612" hidden="1" customWidth="1"/>
    <col min="12" max="15" width="14.26953125" style="612" bestFit="1" customWidth="1"/>
    <col min="16" max="16384" width="8.81640625" style="612"/>
  </cols>
  <sheetData>
    <row r="2" spans="2:16" x14ac:dyDescent="0.25">
      <c r="B2" s="611" t="s">
        <v>51</v>
      </c>
      <c r="C2" s="612">
        <f>Input!C4</f>
        <v>0</v>
      </c>
      <c r="D2" s="613"/>
    </row>
    <row r="3" spans="2:16" ht="12" thickBot="1" x14ac:dyDescent="0.3">
      <c r="C3" s="613"/>
    </row>
    <row r="4" spans="2:16" ht="46.4" customHeight="1" thickBot="1" x14ac:dyDescent="0.3">
      <c r="C4" s="613"/>
      <c r="D4" s="843" t="s">
        <v>13</v>
      </c>
      <c r="E4" s="841"/>
      <c r="F4" s="841" t="s">
        <v>14</v>
      </c>
      <c r="G4" s="841"/>
      <c r="H4" s="841" t="s">
        <v>52</v>
      </c>
      <c r="I4" s="842"/>
      <c r="K4" s="613"/>
      <c r="L4" s="844"/>
      <c r="M4" s="844"/>
      <c r="N4" s="844"/>
      <c r="O4" s="844"/>
    </row>
    <row r="5" spans="2:16" ht="46.5" thickBot="1" x14ac:dyDescent="0.3">
      <c r="B5" s="646" t="s">
        <v>16</v>
      </c>
      <c r="C5" s="647" t="s">
        <v>47</v>
      </c>
      <c r="D5" s="647" t="s">
        <v>17</v>
      </c>
      <c r="E5" s="647" t="s">
        <v>18</v>
      </c>
      <c r="F5" s="647" t="s">
        <v>19</v>
      </c>
      <c r="G5" s="647" t="s">
        <v>20</v>
      </c>
      <c r="H5" s="647" t="s">
        <v>21</v>
      </c>
      <c r="I5" s="648" t="s">
        <v>22</v>
      </c>
      <c r="J5" s="615">
        <v>1</v>
      </c>
      <c r="K5" s="614" t="e">
        <f>DropDowns_LookUps!#REF!</f>
        <v>#REF!</v>
      </c>
      <c r="L5" s="614" t="str">
        <f>DropDowns_LookUps!V2</f>
        <v>Weekly Yard Waste, ASP System</v>
      </c>
      <c r="M5" s="614" t="str">
        <f>DropDowns_LookUps!V3</f>
        <v>Weekly Yard Waste, Windrow System</v>
      </c>
      <c r="N5" s="614" t="str">
        <f>DropDowns_LookUps!V4</f>
        <v>Weekly Yard &amp; Food Waste, ASP System</v>
      </c>
      <c r="O5" s="614" t="str">
        <f>DropDowns_LookUps!V5</f>
        <v>Weekly Yard &amp; Food Waste, Windrow System</v>
      </c>
    </row>
    <row r="6" spans="2:16" ht="14.15" customHeight="1" x14ac:dyDescent="0.25">
      <c r="B6" s="650" t="s">
        <v>482</v>
      </c>
      <c r="C6" s="651" t="e">
        <f>TonnageImpacts!C13</f>
        <v>#N/A</v>
      </c>
      <c r="D6" s="651" t="e">
        <f>TonnageImpacts!D13</f>
        <v>#N/A</v>
      </c>
      <c r="E6" s="651" t="e">
        <f>TonnageImpacts!E13</f>
        <v>#N/A</v>
      </c>
      <c r="F6" s="651" t="e">
        <f>TonnageImpacts!F13</f>
        <v>#N/A</v>
      </c>
      <c r="G6" s="651" t="e">
        <f>TonnageImpacts!G13</f>
        <v>#N/A</v>
      </c>
      <c r="H6" s="651" t="e">
        <f>TonnageImpacts!H13</f>
        <v>#N/A</v>
      </c>
      <c r="I6" s="652" t="e">
        <f>TonnageImpacts!I13</f>
        <v>#N/A</v>
      </c>
      <c r="J6" s="615">
        <v>2</v>
      </c>
      <c r="K6" s="616" t="e">
        <f>TonnageImpacts!K13</f>
        <v>#N/A</v>
      </c>
      <c r="L6" s="616" t="e">
        <f>TonnageImpacts!L13</f>
        <v>#N/A</v>
      </c>
      <c r="M6" s="616" t="e">
        <f>TonnageImpacts!M13</f>
        <v>#N/A</v>
      </c>
      <c r="N6" s="616" t="e">
        <f>TonnageImpacts!N13</f>
        <v>#N/A</v>
      </c>
      <c r="O6" s="616" t="e">
        <f>TonnageImpacts!O13</f>
        <v>#N/A</v>
      </c>
      <c r="P6" s="612" t="s">
        <v>490</v>
      </c>
    </row>
    <row r="7" spans="2:16" ht="14.15" customHeight="1" x14ac:dyDescent="0.25">
      <c r="B7" s="636" t="s">
        <v>483</v>
      </c>
      <c r="C7" s="631" t="e">
        <f>C6/52</f>
        <v>#N/A</v>
      </c>
      <c r="D7" s="631" t="e">
        <f>D6/52</f>
        <v>#N/A</v>
      </c>
      <c r="E7" s="631" t="e">
        <f t="shared" ref="E7:I7" si="0">E6/52</f>
        <v>#N/A</v>
      </c>
      <c r="F7" s="631" t="e">
        <f t="shared" si="0"/>
        <v>#N/A</v>
      </c>
      <c r="G7" s="631" t="e">
        <f t="shared" si="0"/>
        <v>#N/A</v>
      </c>
      <c r="H7" s="631" t="e">
        <f t="shared" si="0"/>
        <v>#N/A</v>
      </c>
      <c r="I7" s="637" t="e">
        <f t="shared" si="0"/>
        <v>#N/A</v>
      </c>
      <c r="J7" s="615">
        <v>3</v>
      </c>
      <c r="K7" s="617" t="e">
        <f>K6/52</f>
        <v>#N/A</v>
      </c>
      <c r="L7" s="617" t="e">
        <f>L6/52</f>
        <v>#N/A</v>
      </c>
      <c r="M7" s="617" t="e">
        <f>M6/52</f>
        <v>#N/A</v>
      </c>
      <c r="N7" s="617" t="e">
        <f>N6/52</f>
        <v>#N/A</v>
      </c>
      <c r="O7" s="617" t="e">
        <f>O6/52</f>
        <v>#N/A</v>
      </c>
      <c r="P7" s="612" t="s">
        <v>490</v>
      </c>
    </row>
    <row r="8" spans="2:16" ht="14.15" customHeight="1" thickBot="1" x14ac:dyDescent="0.3">
      <c r="B8" s="643" t="s">
        <v>53</v>
      </c>
      <c r="C8" s="653" t="e">
        <f>(C6*2000)/Input!$C$8</f>
        <v>#N/A</v>
      </c>
      <c r="D8" s="653" t="e">
        <f>(D6*2000)/Input!$C$8</f>
        <v>#N/A</v>
      </c>
      <c r="E8" s="653" t="e">
        <f>(E6*2000)/Input!$C$8</f>
        <v>#N/A</v>
      </c>
      <c r="F8" s="653" t="e">
        <f>(F6*2000)/Input!$C$8</f>
        <v>#N/A</v>
      </c>
      <c r="G8" s="653" t="e">
        <f>(G6*2000)/Input!$C$8</f>
        <v>#N/A</v>
      </c>
      <c r="H8" s="653" t="e">
        <f>(H6*2000)/Input!$C$8</f>
        <v>#N/A</v>
      </c>
      <c r="I8" s="654" t="e">
        <f>(I6*2000)/Input!$C$8</f>
        <v>#N/A</v>
      </c>
      <c r="J8" s="615">
        <v>4</v>
      </c>
      <c r="K8" s="617" t="e">
        <f>(K6*2000)/Input!$C$8</f>
        <v>#N/A</v>
      </c>
      <c r="L8" s="617" t="e">
        <f>(L6*2000)/Input!$C$8</f>
        <v>#N/A</v>
      </c>
      <c r="M8" s="617" t="e">
        <f>(M6*2000)/Input!$C$8</f>
        <v>#N/A</v>
      </c>
      <c r="N8" s="617" t="e">
        <f>(N6*2000)/Input!$C$8</f>
        <v>#N/A</v>
      </c>
      <c r="O8" s="617" t="e">
        <f>(O6*2000)/Input!$C$8</f>
        <v>#N/A</v>
      </c>
      <c r="P8" s="612" t="s">
        <v>490</v>
      </c>
    </row>
    <row r="9" spans="2:16" ht="14.15" customHeight="1" x14ac:dyDescent="0.25">
      <c r="B9" s="655" t="s">
        <v>25</v>
      </c>
      <c r="C9" s="656"/>
      <c r="D9" s="656"/>
      <c r="E9" s="656"/>
      <c r="F9" s="656"/>
      <c r="G9" s="656"/>
      <c r="H9" s="656"/>
      <c r="I9" s="657"/>
      <c r="J9" s="615">
        <v>5</v>
      </c>
      <c r="K9" s="617"/>
      <c r="L9" s="617"/>
      <c r="M9" s="617"/>
      <c r="N9" s="617"/>
      <c r="O9" s="617"/>
      <c r="P9" s="612" t="s">
        <v>490</v>
      </c>
    </row>
    <row r="10" spans="2:16" ht="14.15" customHeight="1" x14ac:dyDescent="0.25">
      <c r="B10" s="669" t="s">
        <v>54</v>
      </c>
      <c r="C10" s="633" t="e">
        <f>ROUND(C20+C27+C37+C41+C34,-3)</f>
        <v>#N/A</v>
      </c>
      <c r="D10" s="633" t="e">
        <f>ROUND(D20+D27+D37+D41,-3)</f>
        <v>#N/A</v>
      </c>
      <c r="E10" s="633" t="e">
        <f t="shared" ref="E10:I10" si="1">ROUND(E20+E27+E37+E41,-3)</f>
        <v>#N/A</v>
      </c>
      <c r="F10" s="633" t="e">
        <f>ROUND(F20+F27+F37+F41,-3)</f>
        <v>#N/A</v>
      </c>
      <c r="G10" s="633" t="e">
        <f t="shared" si="1"/>
        <v>#N/A</v>
      </c>
      <c r="H10" s="633" t="e">
        <f>ROUND(H20+H27+H37+H41,-3)</f>
        <v>#N/A</v>
      </c>
      <c r="I10" s="638" t="e">
        <f t="shared" si="1"/>
        <v>#N/A</v>
      </c>
      <c r="J10" s="615">
        <v>6</v>
      </c>
      <c r="K10" s="618" t="e">
        <f>ROUND(K20+K27+K37+K41+K34,-3)</f>
        <v>#N/A</v>
      </c>
      <c r="L10" s="618" t="e">
        <f>ROUND(L20+L27+L37+L41,-3)</f>
        <v>#N/A</v>
      </c>
      <c r="M10" s="618" t="e">
        <f>ROUND(M20+M27+M37+M41,-3)</f>
        <v>#N/A</v>
      </c>
      <c r="N10" s="618" t="e">
        <f>ROUND(N20+N27+N37+N41,-3)</f>
        <v>#N/A</v>
      </c>
      <c r="O10" s="618" t="e">
        <f t="shared" ref="O10" si="2">ROUND(O20+O27+O37+O41,-3)</f>
        <v>#N/A</v>
      </c>
      <c r="P10" s="612" t="s">
        <v>490</v>
      </c>
    </row>
    <row r="11" spans="2:16" ht="14.15" customHeight="1" x14ac:dyDescent="0.25">
      <c r="B11" s="669" t="s">
        <v>55</v>
      </c>
      <c r="C11" s="634" t="e">
        <f>ROUND((C10/Input!$C$8),1)</f>
        <v>#N/A</v>
      </c>
      <c r="D11" s="634" t="e">
        <f>ROUND((D10/Input!$C$8),1)</f>
        <v>#N/A</v>
      </c>
      <c r="E11" s="634" t="e">
        <f>ROUND((E10/Input!$C$8),1)</f>
        <v>#N/A</v>
      </c>
      <c r="F11" s="634" t="e">
        <f>ROUND((F10/Input!$C$8),1)</f>
        <v>#N/A</v>
      </c>
      <c r="G11" s="634" t="e">
        <f>ROUND((G10/Input!$C$8),1)</f>
        <v>#N/A</v>
      </c>
      <c r="H11" s="634" t="e">
        <f>ROUND((H10/Input!$C$8),1)</f>
        <v>#N/A</v>
      </c>
      <c r="I11" s="639" t="e">
        <f>ROUND((I10/Input!$C$8),1)</f>
        <v>#N/A</v>
      </c>
      <c r="J11" s="615">
        <v>7</v>
      </c>
      <c r="K11" s="620" t="e">
        <f>ROUND((K10/Input!$C$8),1)</f>
        <v>#N/A</v>
      </c>
      <c r="L11" s="620" t="e">
        <f>ROUND((L10/Input!$C$8),1)</f>
        <v>#N/A</v>
      </c>
      <c r="M11" s="620" t="e">
        <f>ROUND((M10/Input!$C$8),1)</f>
        <v>#N/A</v>
      </c>
      <c r="N11" s="620" t="e">
        <f>ROUND((N10/Input!$C$8),1)</f>
        <v>#N/A</v>
      </c>
      <c r="O11" s="620" t="e">
        <f>ROUND((O10/Input!$C$8),1)</f>
        <v>#N/A</v>
      </c>
      <c r="P11" s="612" t="s">
        <v>490</v>
      </c>
    </row>
    <row r="12" spans="2:16" ht="14.15" customHeight="1" x14ac:dyDescent="0.25">
      <c r="B12" s="669" t="s">
        <v>56</v>
      </c>
      <c r="C12" s="634" t="e">
        <f>(C10/TonnageImpacts!C6)/12</f>
        <v>#N/A</v>
      </c>
      <c r="D12" s="634" t="e">
        <f>(D10/TonnageImpacts!D6)/12</f>
        <v>#N/A</v>
      </c>
      <c r="E12" s="634" t="e">
        <f>(E10/TonnageImpacts!E6)/12</f>
        <v>#N/A</v>
      </c>
      <c r="F12" s="634" t="e">
        <f>(F10/TonnageImpacts!F6)/12</f>
        <v>#N/A</v>
      </c>
      <c r="G12" s="634" t="e">
        <f>(G10/TonnageImpacts!G6)/12</f>
        <v>#N/A</v>
      </c>
      <c r="H12" s="634" t="e">
        <f>(H10/TonnageImpacts!H6)/12</f>
        <v>#N/A</v>
      </c>
      <c r="I12" s="639" t="e">
        <f>(I10/TonnageImpacts!I6)/12</f>
        <v>#N/A</v>
      </c>
      <c r="J12" s="615">
        <v>8</v>
      </c>
      <c r="K12" s="621" t="e">
        <f>(K10/TonnageImpacts!K6)/12</f>
        <v>#N/A</v>
      </c>
      <c r="L12" s="620" t="e">
        <f>(L10/TonnageImpacts!L6)/12</f>
        <v>#N/A</v>
      </c>
      <c r="M12" s="620" t="e">
        <f>(M10/TonnageImpacts!M6)/12</f>
        <v>#N/A</v>
      </c>
      <c r="N12" s="620" t="e">
        <f>(N10/TonnageImpacts!N6)/12</f>
        <v>#N/A</v>
      </c>
      <c r="O12" s="620" t="e">
        <f>(O10/TonnageImpacts!O6)/12</f>
        <v>#N/A</v>
      </c>
      <c r="P12" s="612" t="s">
        <v>490</v>
      </c>
    </row>
    <row r="13" spans="2:16" ht="14.15" customHeight="1" x14ac:dyDescent="0.25">
      <c r="B13" s="669" t="s">
        <v>1051</v>
      </c>
      <c r="C13" s="634" t="e">
        <f>C10/C6</f>
        <v>#N/A</v>
      </c>
      <c r="D13" s="634" t="e">
        <f>D10/D6</f>
        <v>#N/A</v>
      </c>
      <c r="E13" s="634" t="e">
        <f t="shared" ref="E13:I13" si="3">E10/E6</f>
        <v>#N/A</v>
      </c>
      <c r="F13" s="634" t="e">
        <f t="shared" si="3"/>
        <v>#N/A</v>
      </c>
      <c r="G13" s="634" t="e">
        <f>G10/G6</f>
        <v>#N/A</v>
      </c>
      <c r="H13" s="634" t="e">
        <f t="shared" si="3"/>
        <v>#N/A</v>
      </c>
      <c r="I13" s="639" t="e">
        <f t="shared" si="3"/>
        <v>#N/A</v>
      </c>
      <c r="J13" s="615">
        <v>9</v>
      </c>
      <c r="K13" s="620" t="e">
        <f>K10/K6</f>
        <v>#N/A</v>
      </c>
      <c r="L13" s="620" t="e">
        <f>L10/L6</f>
        <v>#N/A</v>
      </c>
      <c r="M13" s="620" t="e">
        <f>M10/M6</f>
        <v>#N/A</v>
      </c>
      <c r="N13" s="620" t="e">
        <f>N10/N6</f>
        <v>#N/A</v>
      </c>
      <c r="O13" s="620" t="e">
        <f>O10/O6</f>
        <v>#N/A</v>
      </c>
      <c r="P13" s="612" t="s">
        <v>490</v>
      </c>
    </row>
    <row r="14" spans="2:16" ht="14.15" customHeight="1" x14ac:dyDescent="0.25">
      <c r="B14" s="669" t="s">
        <v>58</v>
      </c>
      <c r="C14" s="633" t="e">
        <f>C19+C26+C37+C41+C33</f>
        <v>#N/A</v>
      </c>
      <c r="D14" s="633" t="e">
        <f>D19+D26+D37+D41</f>
        <v>#N/A</v>
      </c>
      <c r="E14" s="633" t="e">
        <f t="shared" ref="E14:H14" si="4">E19+E26+E37+E41</f>
        <v>#N/A</v>
      </c>
      <c r="F14" s="633" t="e">
        <f t="shared" si="4"/>
        <v>#N/A</v>
      </c>
      <c r="G14" s="633" t="e">
        <f t="shared" si="4"/>
        <v>#N/A</v>
      </c>
      <c r="H14" s="633" t="e">
        <f t="shared" si="4"/>
        <v>#N/A</v>
      </c>
      <c r="I14" s="638" t="e">
        <f>I19+I26+I37+I41</f>
        <v>#N/A</v>
      </c>
      <c r="J14" s="615">
        <v>10</v>
      </c>
      <c r="K14" s="618" t="e">
        <f>K21+K26+K37+K41+K33</f>
        <v>#REF!</v>
      </c>
      <c r="L14" s="618" t="e">
        <f>L19+L26+L37+L41</f>
        <v>#N/A</v>
      </c>
      <c r="M14" s="618" t="e">
        <f t="shared" ref="M14:O14" si="5">M19+M26+M37+M41</f>
        <v>#N/A</v>
      </c>
      <c r="N14" s="618" t="e">
        <f t="shared" si="5"/>
        <v>#N/A</v>
      </c>
      <c r="O14" s="618" t="e">
        <f t="shared" si="5"/>
        <v>#N/A</v>
      </c>
      <c r="P14" s="612" t="s">
        <v>490</v>
      </c>
    </row>
    <row r="15" spans="2:16" ht="14.15" customHeight="1" x14ac:dyDescent="0.25">
      <c r="B15" s="669" t="s">
        <v>59</v>
      </c>
      <c r="C15" s="633" t="e">
        <f>ROUND(C18+C25+C31,-3)</f>
        <v>#N/A</v>
      </c>
      <c r="D15" s="633" t="e">
        <f>ROUND(D18+D25,-3)</f>
        <v>#N/A</v>
      </c>
      <c r="E15" s="633" t="e">
        <f t="shared" ref="E15:H15" si="6">ROUND(E18+E25,-3)</f>
        <v>#N/A</v>
      </c>
      <c r="F15" s="633" t="e">
        <f t="shared" si="6"/>
        <v>#N/A</v>
      </c>
      <c r="G15" s="633" t="e">
        <f>ROUND(G18+G25,-3)</f>
        <v>#N/A</v>
      </c>
      <c r="H15" s="633" t="e">
        <f t="shared" si="6"/>
        <v>#N/A</v>
      </c>
      <c r="I15" s="638" t="e">
        <f>ROUND(I18+I25,-3)</f>
        <v>#N/A</v>
      </c>
      <c r="J15" s="615">
        <v>11</v>
      </c>
      <c r="K15" s="618">
        <f>ROUND(K18+K25+K31,-3)</f>
        <v>197000</v>
      </c>
      <c r="L15" s="618" t="e">
        <f>ROUND(L18+L25,-3)</f>
        <v>#N/A</v>
      </c>
      <c r="M15" s="618" t="e">
        <f>ROUND(M18+M25,-3)</f>
        <v>#N/A</v>
      </c>
      <c r="N15" s="618" t="e">
        <f>ROUND(N18+N25,-3)</f>
        <v>#N/A</v>
      </c>
      <c r="O15" s="618" t="e">
        <f>ROUND(O18+O25,-3)</f>
        <v>#N/A</v>
      </c>
      <c r="P15" s="612" t="s">
        <v>490</v>
      </c>
    </row>
    <row r="16" spans="2:16" ht="14.15" customHeight="1" x14ac:dyDescent="0.25">
      <c r="B16" s="670" t="s">
        <v>60</v>
      </c>
      <c r="C16" s="632"/>
      <c r="D16" s="632"/>
      <c r="E16" s="632"/>
      <c r="F16" s="632"/>
      <c r="G16" s="632"/>
      <c r="H16" s="632"/>
      <c r="I16" s="640"/>
      <c r="J16" s="615">
        <v>12</v>
      </c>
      <c r="K16" s="622"/>
      <c r="L16" s="622"/>
      <c r="M16" s="622"/>
      <c r="N16" s="622"/>
      <c r="O16" s="622"/>
      <c r="P16" s="612" t="s">
        <v>490</v>
      </c>
    </row>
    <row r="17" spans="2:16" ht="14.15" customHeight="1" x14ac:dyDescent="0.25">
      <c r="B17" s="669"/>
      <c r="C17" s="734"/>
      <c r="D17" s="734"/>
      <c r="E17" s="734"/>
      <c r="F17" s="734"/>
      <c r="G17" s="734"/>
      <c r="H17" s="734"/>
      <c r="I17" s="735"/>
      <c r="J17" s="615">
        <v>13</v>
      </c>
      <c r="K17" s="618" t="e">
        <f>-ContainerCosts!#REF!</f>
        <v>#REF!</v>
      </c>
      <c r="L17" s="618"/>
      <c r="M17" s="618"/>
      <c r="N17" s="618"/>
      <c r="O17" s="618"/>
      <c r="P17" s="612" t="s">
        <v>490</v>
      </c>
    </row>
    <row r="18" spans="2:16" ht="14.15" customHeight="1" x14ac:dyDescent="0.25">
      <c r="B18" s="669" t="str">
        <f>ContainerCosts!A21</f>
        <v>Total Capital Cost</v>
      </c>
      <c r="C18" s="633">
        <f>-ContainerCosts!C21</f>
        <v>0</v>
      </c>
      <c r="D18" s="633" t="e">
        <f>-ContainerCosts!D21</f>
        <v>#N/A</v>
      </c>
      <c r="E18" s="633" t="e">
        <f>-ContainerCosts!E21</f>
        <v>#N/A</v>
      </c>
      <c r="F18" s="633" t="e">
        <f>-ContainerCosts!F21</f>
        <v>#N/A</v>
      </c>
      <c r="G18" s="633" t="e">
        <f>-ContainerCosts!G21</f>
        <v>#N/A</v>
      </c>
      <c r="H18" s="633" t="e">
        <f>-ContainerCosts!H21</f>
        <v>#N/A</v>
      </c>
      <c r="I18" s="638" t="e">
        <f>-ContainerCosts!I21</f>
        <v>#N/A</v>
      </c>
      <c r="J18" s="615">
        <v>14</v>
      </c>
      <c r="K18" s="618">
        <f>-ContainerCosts!K21</f>
        <v>0</v>
      </c>
      <c r="L18" s="618" t="e">
        <f>-ContainerCosts!L21</f>
        <v>#N/A</v>
      </c>
      <c r="M18" s="618" t="e">
        <f>-ContainerCosts!M21</f>
        <v>#N/A</v>
      </c>
      <c r="N18" s="618" t="e">
        <f>-ContainerCosts!N21</f>
        <v>#N/A</v>
      </c>
      <c r="O18" s="618" t="e">
        <f>-ContainerCosts!O21</f>
        <v>#N/A</v>
      </c>
      <c r="P18" s="612" t="s">
        <v>490</v>
      </c>
    </row>
    <row r="19" spans="2:16" ht="14.15" customHeight="1" x14ac:dyDescent="0.25">
      <c r="B19" s="669" t="str">
        <f>ContainerCosts!A23</f>
        <v>Annual Operations &amp; Maintenance Cost</v>
      </c>
      <c r="C19" s="633">
        <f>-ContainerCosts!C23</f>
        <v>0</v>
      </c>
      <c r="D19" s="633" t="e">
        <f>-ContainerCosts!D23</f>
        <v>#N/A</v>
      </c>
      <c r="E19" s="633" t="e">
        <f>-ContainerCosts!E23</f>
        <v>#N/A</v>
      </c>
      <c r="F19" s="633" t="e">
        <f>-ContainerCosts!F23</f>
        <v>#N/A</v>
      </c>
      <c r="G19" s="633" t="e">
        <f>-ContainerCosts!G23</f>
        <v>#N/A</v>
      </c>
      <c r="H19" s="633" t="e">
        <f>-ContainerCosts!H23</f>
        <v>#N/A</v>
      </c>
      <c r="I19" s="638" t="e">
        <f>-ContainerCosts!I23</f>
        <v>#N/A</v>
      </c>
      <c r="J19" s="615">
        <v>15</v>
      </c>
      <c r="K19" s="618">
        <f>-ContainerCosts!K23</f>
        <v>0</v>
      </c>
      <c r="L19" s="618" t="e">
        <f>-ContainerCosts!L23</f>
        <v>#N/A</v>
      </c>
      <c r="M19" s="618" t="e">
        <f>-ContainerCosts!M23</f>
        <v>#N/A</v>
      </c>
      <c r="N19" s="618" t="e">
        <f>-ContainerCosts!N23</f>
        <v>#N/A</v>
      </c>
      <c r="O19" s="618" t="e">
        <f>-ContainerCosts!O23</f>
        <v>#N/A</v>
      </c>
      <c r="P19" s="612" t="s">
        <v>490</v>
      </c>
    </row>
    <row r="20" spans="2:16" ht="14.15" customHeight="1" x14ac:dyDescent="0.25">
      <c r="B20" s="669" t="str">
        <f>ContainerCosts!A24</f>
        <v>Total Annual Cost</v>
      </c>
      <c r="C20" s="633">
        <f>-ContainerCosts!C24</f>
        <v>0</v>
      </c>
      <c r="D20" s="633" t="e">
        <f>-ContainerCosts!D24</f>
        <v>#N/A</v>
      </c>
      <c r="E20" s="633" t="e">
        <f>-ContainerCosts!E24</f>
        <v>#N/A</v>
      </c>
      <c r="F20" s="633" t="e">
        <f>-ContainerCosts!F24</f>
        <v>#N/A</v>
      </c>
      <c r="G20" s="633" t="e">
        <f>-ContainerCosts!G24</f>
        <v>#N/A</v>
      </c>
      <c r="H20" s="633" t="e">
        <f>-ContainerCosts!H24</f>
        <v>#N/A</v>
      </c>
      <c r="I20" s="638" t="e">
        <f>-ContainerCosts!I24</f>
        <v>#N/A</v>
      </c>
      <c r="J20" s="615">
        <v>16</v>
      </c>
      <c r="K20" s="618">
        <f>-ContainerCosts!K24</f>
        <v>0</v>
      </c>
      <c r="L20" s="618" t="e">
        <f>-ContainerCosts!L24</f>
        <v>#N/A</v>
      </c>
      <c r="M20" s="618" t="e">
        <f>-ContainerCosts!M24</f>
        <v>#N/A</v>
      </c>
      <c r="N20" s="618" t="e">
        <f>-ContainerCosts!N24</f>
        <v>#N/A</v>
      </c>
      <c r="O20" s="618" t="e">
        <f>-ContainerCosts!O24</f>
        <v>#N/A</v>
      </c>
      <c r="P20" s="612" t="s">
        <v>490</v>
      </c>
    </row>
    <row r="21" spans="2:16" ht="14.15" customHeight="1" x14ac:dyDescent="0.25">
      <c r="B21" s="669"/>
      <c r="C21" s="734"/>
      <c r="D21" s="734"/>
      <c r="E21" s="734"/>
      <c r="F21" s="734"/>
      <c r="G21" s="734"/>
      <c r="H21" s="734"/>
      <c r="I21" s="735"/>
      <c r="J21" s="615">
        <v>17</v>
      </c>
      <c r="K21" s="618" t="e">
        <f>-ContainerCosts!#REF!</f>
        <v>#REF!</v>
      </c>
      <c r="L21" s="618"/>
      <c r="M21" s="618"/>
      <c r="N21" s="618"/>
      <c r="O21" s="618"/>
      <c r="P21" s="612" t="s">
        <v>490</v>
      </c>
    </row>
    <row r="22" spans="2:16" ht="14.15" customHeight="1" x14ac:dyDescent="0.25">
      <c r="B22" s="670" t="s">
        <v>61</v>
      </c>
      <c r="C22" s="632"/>
      <c r="D22" s="632"/>
      <c r="E22" s="632"/>
      <c r="F22" s="632"/>
      <c r="G22" s="632"/>
      <c r="H22" s="632"/>
      <c r="I22" s="640"/>
      <c r="J22" s="615">
        <v>18</v>
      </c>
      <c r="K22" s="622"/>
      <c r="L22" s="622"/>
      <c r="M22" s="622"/>
      <c r="N22" s="622"/>
      <c r="O22" s="622"/>
      <c r="P22" s="612" t="s">
        <v>490</v>
      </c>
    </row>
    <row r="23" spans="2:16" ht="14.15" customHeight="1" x14ac:dyDescent="0.25">
      <c r="B23" s="669" t="str">
        <f>TruckCosts!A31</f>
        <v>Total No. of Vehicles (incl. back-up and support)</v>
      </c>
      <c r="C23" s="630" t="e">
        <f>TruckCosts!C31</f>
        <v>#N/A</v>
      </c>
      <c r="D23" s="630" t="e">
        <f>TruckCosts!D31</f>
        <v>#N/A</v>
      </c>
      <c r="E23" s="630" t="e">
        <f>TruckCosts!E31</f>
        <v>#N/A</v>
      </c>
      <c r="F23" s="630" t="e">
        <f>TruckCosts!F31</f>
        <v>#N/A</v>
      </c>
      <c r="G23" s="630" t="e">
        <f>TruckCosts!G31</f>
        <v>#N/A</v>
      </c>
      <c r="H23" s="630" t="e">
        <f>TruckCosts!H31</f>
        <v>#N/A</v>
      </c>
      <c r="I23" s="641" t="e">
        <f>TruckCosts!I31</f>
        <v>#N/A</v>
      </c>
      <c r="J23" s="615">
        <v>19</v>
      </c>
      <c r="K23" s="623">
        <f>TruckCosts!V31</f>
        <v>1</v>
      </c>
      <c r="L23" s="623" t="e">
        <f>TruckCosts!W31</f>
        <v>#N/A</v>
      </c>
      <c r="M23" s="623" t="e">
        <f>TruckCosts!X31</f>
        <v>#N/A</v>
      </c>
      <c r="N23" s="623" t="e">
        <f>TruckCosts!Y31</f>
        <v>#N/A</v>
      </c>
      <c r="O23" s="623" t="e">
        <f>TruckCosts!Z31</f>
        <v>#N/A</v>
      </c>
      <c r="P23" s="612" t="s">
        <v>490</v>
      </c>
    </row>
    <row r="24" spans="2:16" ht="14.15" customHeight="1" x14ac:dyDescent="0.25">
      <c r="B24" s="669"/>
      <c r="C24" s="734"/>
      <c r="D24" s="734"/>
      <c r="E24" s="734"/>
      <c r="F24" s="734"/>
      <c r="G24" s="734"/>
      <c r="H24" s="734"/>
      <c r="I24" s="735"/>
      <c r="J24" s="615">
        <v>20</v>
      </c>
      <c r="K24" s="618" t="e">
        <f>TruckCosts!#REF!</f>
        <v>#REF!</v>
      </c>
      <c r="L24" s="618"/>
      <c r="M24" s="618"/>
      <c r="N24" s="618"/>
      <c r="O24" s="618"/>
      <c r="P24" s="612" t="s">
        <v>490</v>
      </c>
    </row>
    <row r="25" spans="2:16" ht="14.15" customHeight="1" x14ac:dyDescent="0.25">
      <c r="B25" s="669" t="str">
        <f>TruckCosts!A32</f>
        <v>Total Capital Cost</v>
      </c>
      <c r="C25" s="633" t="e">
        <f>-TruckCosts!C32</f>
        <v>#N/A</v>
      </c>
      <c r="D25" s="633" t="e">
        <f>-TruckCosts!D32</f>
        <v>#N/A</v>
      </c>
      <c r="E25" s="633" t="e">
        <f>-TruckCosts!E32</f>
        <v>#N/A</v>
      </c>
      <c r="F25" s="633" t="e">
        <f>-TruckCosts!F32</f>
        <v>#N/A</v>
      </c>
      <c r="G25" s="633" t="e">
        <f>-TruckCosts!G32</f>
        <v>#N/A</v>
      </c>
      <c r="H25" s="633" t="e">
        <f>-TruckCosts!H32</f>
        <v>#N/A</v>
      </c>
      <c r="I25" s="638" t="e">
        <f>-TruckCosts!I32</f>
        <v>#N/A</v>
      </c>
      <c r="J25" s="615">
        <v>21</v>
      </c>
      <c r="K25" s="618">
        <f>TruckCosts!V32</f>
        <v>196620.28334898315</v>
      </c>
      <c r="L25" s="618" t="e">
        <f>-TruckCosts!W32</f>
        <v>#N/A</v>
      </c>
      <c r="M25" s="618" t="e">
        <f>-TruckCosts!X32</f>
        <v>#N/A</v>
      </c>
      <c r="N25" s="618" t="e">
        <f>-TruckCosts!Y32</f>
        <v>#N/A</v>
      </c>
      <c r="O25" s="618" t="e">
        <f>-TruckCosts!Z32</f>
        <v>#N/A</v>
      </c>
      <c r="P25" s="612" t="s">
        <v>490</v>
      </c>
    </row>
    <row r="26" spans="2:16" ht="14.15" customHeight="1" x14ac:dyDescent="0.25">
      <c r="B26" s="669" t="str">
        <f>TruckCosts!A34</f>
        <v>Annual Operations &amp; Maintenance Cost</v>
      </c>
      <c r="C26" s="633" t="e">
        <f>-TruckCosts!C34</f>
        <v>#N/A</v>
      </c>
      <c r="D26" s="633" t="e">
        <f>-TruckCosts!D34</f>
        <v>#N/A</v>
      </c>
      <c r="E26" s="633" t="e">
        <f>-TruckCosts!E34</f>
        <v>#N/A</v>
      </c>
      <c r="F26" s="633" t="e">
        <f>-TruckCosts!F34</f>
        <v>#N/A</v>
      </c>
      <c r="G26" s="633" t="e">
        <f>-TruckCosts!G34</f>
        <v>#N/A</v>
      </c>
      <c r="H26" s="633" t="e">
        <f>-TruckCosts!H34</f>
        <v>#N/A</v>
      </c>
      <c r="I26" s="638" t="e">
        <f>-TruckCosts!I34</f>
        <v>#N/A</v>
      </c>
      <c r="J26" s="615">
        <v>22</v>
      </c>
      <c r="K26" s="618">
        <f>TruckCosts!V34</f>
        <v>42000</v>
      </c>
      <c r="L26" s="618" t="e">
        <f>-TruckCosts!W34</f>
        <v>#N/A</v>
      </c>
      <c r="M26" s="618" t="e">
        <f>-TruckCosts!X34</f>
        <v>#N/A</v>
      </c>
      <c r="N26" s="618" t="e">
        <f>-TruckCosts!Y34</f>
        <v>#N/A</v>
      </c>
      <c r="O26" s="618" t="e">
        <f>-TruckCosts!Z34</f>
        <v>#N/A</v>
      </c>
      <c r="P26" s="612" t="s">
        <v>490</v>
      </c>
    </row>
    <row r="27" spans="2:16" ht="14.15" customHeight="1" x14ac:dyDescent="0.25">
      <c r="B27" s="669" t="str">
        <f>TruckCosts!A35</f>
        <v>Total Annual Collection Cost</v>
      </c>
      <c r="C27" s="633" t="e">
        <f>-TruckCosts!C35</f>
        <v>#N/A</v>
      </c>
      <c r="D27" s="633" t="e">
        <f>-TruckCosts!D35</f>
        <v>#N/A</v>
      </c>
      <c r="E27" s="633" t="e">
        <f>-TruckCosts!E35</f>
        <v>#N/A</v>
      </c>
      <c r="F27" s="633" t="e">
        <f>-TruckCosts!F35</f>
        <v>#N/A</v>
      </c>
      <c r="G27" s="633" t="e">
        <f>-TruckCosts!G35</f>
        <v>#N/A</v>
      </c>
      <c r="H27" s="633" t="e">
        <f>-TruckCosts!H35</f>
        <v>#N/A</v>
      </c>
      <c r="I27" s="638" t="e">
        <f>-TruckCosts!I35</f>
        <v>#N/A</v>
      </c>
      <c r="J27" s="615">
        <v>23</v>
      </c>
      <c r="K27" s="618">
        <f>TruckCosts!V35</f>
        <v>70088.611906997598</v>
      </c>
      <c r="L27" s="618" t="e">
        <f>-TruckCosts!W35</f>
        <v>#N/A</v>
      </c>
      <c r="M27" s="618" t="e">
        <f>-TruckCosts!X35</f>
        <v>#N/A</v>
      </c>
      <c r="N27" s="618" t="e">
        <f>-TruckCosts!Y35</f>
        <v>#N/A</v>
      </c>
      <c r="O27" s="618" t="e">
        <f>-TruckCosts!Z35</f>
        <v>#N/A</v>
      </c>
      <c r="P27" s="612" t="s">
        <v>490</v>
      </c>
    </row>
    <row r="28" spans="2:16" ht="14.15" customHeight="1" x14ac:dyDescent="0.25">
      <c r="B28" s="670" t="s">
        <v>62</v>
      </c>
      <c r="C28" s="633"/>
      <c r="D28" s="633"/>
      <c r="E28" s="633"/>
      <c r="F28" s="633"/>
      <c r="G28" s="633"/>
      <c r="H28" s="633"/>
      <c r="I28" s="638"/>
      <c r="J28" s="615">
        <v>24</v>
      </c>
      <c r="K28" s="618"/>
      <c r="L28" s="618"/>
      <c r="M28" s="618"/>
      <c r="N28" s="618"/>
      <c r="O28" s="618"/>
      <c r="P28" s="612" t="s">
        <v>490</v>
      </c>
    </row>
    <row r="29" spans="2:16" ht="14.15" customHeight="1" x14ac:dyDescent="0.25">
      <c r="B29" s="669" t="str">
        <f>'DropOff Capital Cost'!A64</f>
        <v>Number of Drop-Offs</v>
      </c>
      <c r="C29" s="630">
        <f>'DropOff Capital Cost'!B64</f>
        <v>1</v>
      </c>
      <c r="D29" s="633" t="s">
        <v>50</v>
      </c>
      <c r="E29" s="633" t="s">
        <v>50</v>
      </c>
      <c r="F29" s="633" t="s">
        <v>50</v>
      </c>
      <c r="G29" s="633" t="s">
        <v>50</v>
      </c>
      <c r="H29" s="633" t="s">
        <v>50</v>
      </c>
      <c r="I29" s="638" t="s">
        <v>50</v>
      </c>
      <c r="J29" s="615">
        <v>25</v>
      </c>
      <c r="K29" s="623">
        <f>'DropOff Capital Cost'!H64</f>
        <v>0</v>
      </c>
      <c r="L29" s="618" t="s">
        <v>50</v>
      </c>
      <c r="M29" s="618" t="s">
        <v>50</v>
      </c>
      <c r="N29" s="618" t="s">
        <v>50</v>
      </c>
      <c r="O29" s="618" t="s">
        <v>50</v>
      </c>
      <c r="P29" s="612" t="s">
        <v>630</v>
      </c>
    </row>
    <row r="30" spans="2:16" ht="14.15" customHeight="1" x14ac:dyDescent="0.25">
      <c r="B30" s="669"/>
      <c r="C30" s="633"/>
      <c r="D30" s="633" t="s">
        <v>50</v>
      </c>
      <c r="E30" s="633" t="s">
        <v>50</v>
      </c>
      <c r="F30" s="633" t="s">
        <v>50</v>
      </c>
      <c r="G30" s="633" t="s">
        <v>50</v>
      </c>
      <c r="H30" s="633" t="s">
        <v>50</v>
      </c>
      <c r="I30" s="638" t="s">
        <v>50</v>
      </c>
      <c r="J30" s="615">
        <v>26</v>
      </c>
      <c r="K30" s="618" t="e">
        <f>'DropOff Capital Cost'!#REF!</f>
        <v>#REF!</v>
      </c>
      <c r="L30" s="618" t="s">
        <v>50</v>
      </c>
      <c r="M30" s="618" t="s">
        <v>50</v>
      </c>
      <c r="N30" s="618" t="s">
        <v>50</v>
      </c>
      <c r="O30" s="618" t="s">
        <v>50</v>
      </c>
      <c r="P30" s="612" t="s">
        <v>630</v>
      </c>
    </row>
    <row r="31" spans="2:16" ht="14.15" customHeight="1" x14ac:dyDescent="0.25">
      <c r="B31" s="669" t="str">
        <f>'DropOff Capital Cost'!A65</f>
        <v>Total Capital Cost</v>
      </c>
      <c r="C31" s="633">
        <f>'DropOff Capital Cost'!B65</f>
        <v>0</v>
      </c>
      <c r="D31" s="633" t="s">
        <v>50</v>
      </c>
      <c r="E31" s="633" t="s">
        <v>50</v>
      </c>
      <c r="F31" s="633" t="s">
        <v>50</v>
      </c>
      <c r="G31" s="633" t="s">
        <v>50</v>
      </c>
      <c r="H31" s="633" t="s">
        <v>50</v>
      </c>
      <c r="I31" s="638" t="s">
        <v>50</v>
      </c>
      <c r="J31" s="615">
        <v>27</v>
      </c>
      <c r="K31" s="618">
        <f>'DropOff Capital Cost'!H65</f>
        <v>0</v>
      </c>
      <c r="L31" s="618" t="s">
        <v>50</v>
      </c>
      <c r="M31" s="618" t="s">
        <v>50</v>
      </c>
      <c r="N31" s="618" t="s">
        <v>50</v>
      </c>
      <c r="O31" s="618" t="s">
        <v>50</v>
      </c>
      <c r="P31" s="612" t="s">
        <v>630</v>
      </c>
    </row>
    <row r="32" spans="2:16" ht="14.15" customHeight="1" x14ac:dyDescent="0.25">
      <c r="B32" s="669" t="s">
        <v>63</v>
      </c>
      <c r="C32" s="760" t="e">
        <f>SUM('DropOff Capital Cost'!B42:B47)</f>
        <v>#N/A</v>
      </c>
      <c r="D32" s="633" t="s">
        <v>50</v>
      </c>
      <c r="E32" s="633" t="s">
        <v>50</v>
      </c>
      <c r="F32" s="633" t="s">
        <v>50</v>
      </c>
      <c r="G32" s="633" t="s">
        <v>50</v>
      </c>
      <c r="H32" s="633" t="s">
        <v>50</v>
      </c>
      <c r="I32" s="638" t="s">
        <v>50</v>
      </c>
      <c r="J32" s="615">
        <v>28</v>
      </c>
      <c r="K32" s="618">
        <f>SUM('DropOff Capital Cost'!H42:H47)</f>
        <v>0</v>
      </c>
      <c r="L32" s="618" t="s">
        <v>50</v>
      </c>
      <c r="M32" s="618" t="s">
        <v>50</v>
      </c>
      <c r="N32" s="618" t="s">
        <v>50</v>
      </c>
      <c r="O32" s="618" t="s">
        <v>50</v>
      </c>
      <c r="P32" s="612" t="s">
        <v>630</v>
      </c>
    </row>
    <row r="33" spans="2:16" ht="14.15" customHeight="1" x14ac:dyDescent="0.25">
      <c r="B33" s="669" t="str">
        <f>'DropOff Capital Cost'!A67</f>
        <v xml:space="preserve">Annual Total Operations &amp; Maintenance Cost </v>
      </c>
      <c r="C33" s="633" t="e">
        <f>'DropOff Capital Cost'!B67</f>
        <v>#N/A</v>
      </c>
      <c r="D33" s="633" t="s">
        <v>50</v>
      </c>
      <c r="E33" s="633" t="s">
        <v>50</v>
      </c>
      <c r="F33" s="633" t="s">
        <v>50</v>
      </c>
      <c r="G33" s="633" t="s">
        <v>50</v>
      </c>
      <c r="H33" s="633" t="s">
        <v>50</v>
      </c>
      <c r="I33" s="638" t="s">
        <v>50</v>
      </c>
      <c r="J33" s="615">
        <v>29</v>
      </c>
      <c r="K33" s="618">
        <f>'DropOff Capital Cost'!H67</f>
        <v>0</v>
      </c>
      <c r="L33" s="618" t="s">
        <v>50</v>
      </c>
      <c r="M33" s="618" t="s">
        <v>50</v>
      </c>
      <c r="N33" s="618" t="s">
        <v>50</v>
      </c>
      <c r="O33" s="618" t="s">
        <v>50</v>
      </c>
      <c r="P33" s="612" t="s">
        <v>630</v>
      </c>
    </row>
    <row r="34" spans="2:16" ht="14.15" customHeight="1" x14ac:dyDescent="0.25">
      <c r="B34" s="669" t="str">
        <f>'DropOff Capital Cost'!A68</f>
        <v xml:space="preserve">Annual Total Cost </v>
      </c>
      <c r="C34" s="633" t="e">
        <f>'DropOff Capital Cost'!B68</f>
        <v>#N/A</v>
      </c>
      <c r="D34" s="633" t="s">
        <v>50</v>
      </c>
      <c r="E34" s="633" t="s">
        <v>50</v>
      </c>
      <c r="F34" s="633" t="s">
        <v>50</v>
      </c>
      <c r="G34" s="633" t="s">
        <v>50</v>
      </c>
      <c r="H34" s="633" t="s">
        <v>50</v>
      </c>
      <c r="I34" s="638" t="s">
        <v>50</v>
      </c>
      <c r="J34" s="615">
        <v>30</v>
      </c>
      <c r="K34" s="618">
        <f>'DropOff Capital Cost'!H68</f>
        <v>0</v>
      </c>
      <c r="L34" s="618" t="s">
        <v>50</v>
      </c>
      <c r="M34" s="618" t="s">
        <v>50</v>
      </c>
      <c r="N34" s="618" t="s">
        <v>50</v>
      </c>
      <c r="O34" s="618" t="s">
        <v>50</v>
      </c>
      <c r="P34" s="612" t="s">
        <v>630</v>
      </c>
    </row>
    <row r="35" spans="2:16" ht="14.15" customHeight="1" x14ac:dyDescent="0.25">
      <c r="B35" s="669" t="str">
        <f>'DropOff Capital Cost'!A69</f>
        <v xml:space="preserve">Annual Total Cost per Site </v>
      </c>
      <c r="C35" s="633" t="e">
        <f>'DropOff Capital Cost'!B69</f>
        <v>#N/A</v>
      </c>
      <c r="D35" s="633" t="s">
        <v>50</v>
      </c>
      <c r="E35" s="633" t="s">
        <v>50</v>
      </c>
      <c r="F35" s="633" t="s">
        <v>50</v>
      </c>
      <c r="G35" s="633" t="s">
        <v>50</v>
      </c>
      <c r="H35" s="633" t="s">
        <v>50</v>
      </c>
      <c r="I35" s="638" t="s">
        <v>50</v>
      </c>
      <c r="J35" s="615">
        <v>31</v>
      </c>
      <c r="K35" s="618">
        <f>'DropOff Capital Cost'!H69</f>
        <v>0</v>
      </c>
      <c r="L35" s="618" t="s">
        <v>50</v>
      </c>
      <c r="M35" s="618" t="s">
        <v>50</v>
      </c>
      <c r="N35" s="618" t="s">
        <v>50</v>
      </c>
      <c r="O35" s="618" t="s">
        <v>50</v>
      </c>
      <c r="P35" s="612" t="s">
        <v>630</v>
      </c>
    </row>
    <row r="36" spans="2:16" ht="14.15" customHeight="1" x14ac:dyDescent="0.25">
      <c r="B36" s="670" t="s">
        <v>612</v>
      </c>
      <c r="C36" s="632"/>
      <c r="D36" s="632"/>
      <c r="E36" s="632"/>
      <c r="F36" s="632"/>
      <c r="G36" s="632"/>
      <c r="H36" s="632"/>
      <c r="I36" s="640"/>
      <c r="J36" s="615">
        <v>32</v>
      </c>
      <c r="K36" s="622"/>
      <c r="L36" s="622"/>
      <c r="M36" s="622"/>
      <c r="N36" s="622"/>
      <c r="O36" s="622"/>
      <c r="P36" s="612" t="s">
        <v>490</v>
      </c>
    </row>
    <row r="37" spans="2:16" ht="14.15" customHeight="1" x14ac:dyDescent="0.25">
      <c r="B37" s="669" t="str">
        <f>CollectionStaffingCosts!A16</f>
        <v>Total Labor Cost (Annual)</v>
      </c>
      <c r="C37" s="633" t="e">
        <f>-CollectionStaffingCosts!C16</f>
        <v>#N/A</v>
      </c>
      <c r="D37" s="633" t="e">
        <f>-CollectionStaffingCosts!D16</f>
        <v>#N/A</v>
      </c>
      <c r="E37" s="633" t="e">
        <f>-CollectionStaffingCosts!E16</f>
        <v>#N/A</v>
      </c>
      <c r="F37" s="633" t="e">
        <f>-CollectionStaffingCosts!F16</f>
        <v>#N/A</v>
      </c>
      <c r="G37" s="633" t="e">
        <f>-CollectionStaffingCosts!G16</f>
        <v>#N/A</v>
      </c>
      <c r="H37" s="633" t="e">
        <f>-CollectionStaffingCosts!H16</f>
        <v>#N/A</v>
      </c>
      <c r="I37" s="638" t="e">
        <f>-CollectionStaffingCosts!I16</f>
        <v>#N/A</v>
      </c>
      <c r="J37" s="615">
        <v>33</v>
      </c>
      <c r="K37" s="618">
        <f>-CollectionStaffingCosts!V16</f>
        <v>-64336.27199999999</v>
      </c>
      <c r="L37" s="618" t="e">
        <f>-CollectionStaffingCosts!W16</f>
        <v>#N/A</v>
      </c>
      <c r="M37" s="618" t="e">
        <f>-CollectionStaffingCosts!X16</f>
        <v>#N/A</v>
      </c>
      <c r="N37" s="618" t="e">
        <f>-CollectionStaffingCosts!Y16</f>
        <v>#N/A</v>
      </c>
      <c r="O37" s="618" t="e">
        <f>-CollectionStaffingCosts!Z16</f>
        <v>#N/A</v>
      </c>
      <c r="P37" s="612" t="s">
        <v>490</v>
      </c>
    </row>
    <row r="38" spans="2:16" ht="14.15" customHeight="1" x14ac:dyDescent="0.25">
      <c r="B38" s="669" t="str">
        <f>CollectionStaffingCosts!A17</f>
        <v>Number of Equipment Operators / Maint. Techs</v>
      </c>
      <c r="C38" s="630" t="e">
        <f>CollectionStaffingCosts!C17</f>
        <v>#N/A</v>
      </c>
      <c r="D38" s="630" t="e">
        <f>CollectionStaffingCosts!D17</f>
        <v>#N/A</v>
      </c>
      <c r="E38" s="630" t="e">
        <f>CollectionStaffingCosts!E17</f>
        <v>#N/A</v>
      </c>
      <c r="F38" s="630" t="e">
        <f>CollectionStaffingCosts!F17</f>
        <v>#N/A</v>
      </c>
      <c r="G38" s="630" t="e">
        <f>CollectionStaffingCosts!G17</f>
        <v>#N/A</v>
      </c>
      <c r="H38" s="630" t="e">
        <f>CollectionStaffingCosts!H17</f>
        <v>#N/A</v>
      </c>
      <c r="I38" s="641" t="e">
        <f>CollectionStaffingCosts!I17</f>
        <v>#N/A</v>
      </c>
      <c r="J38" s="615">
        <v>34</v>
      </c>
      <c r="K38" s="623">
        <f>CollectionStaffingCosts!V17</f>
        <v>1</v>
      </c>
      <c r="L38" s="623" t="e">
        <f>CollectionStaffingCosts!W17</f>
        <v>#N/A</v>
      </c>
      <c r="M38" s="623" t="e">
        <f>CollectionStaffingCosts!X17</f>
        <v>#N/A</v>
      </c>
      <c r="N38" s="623" t="e">
        <f>CollectionStaffingCosts!Y17</f>
        <v>#N/A</v>
      </c>
      <c r="O38" s="623" t="e">
        <f>CollectionStaffingCosts!Z17</f>
        <v>#N/A</v>
      </c>
      <c r="P38" s="612" t="s">
        <v>490</v>
      </c>
    </row>
    <row r="39" spans="2:16" ht="14.15" customHeight="1" x14ac:dyDescent="0.25">
      <c r="B39" s="669" t="str">
        <f>CollectionStaffingCosts!A18</f>
        <v xml:space="preserve">Number of Supervisors </v>
      </c>
      <c r="C39" s="630" t="e">
        <f>CollectionStaffingCosts!C18</f>
        <v>#N/A</v>
      </c>
      <c r="D39" s="630" t="e">
        <f>CollectionStaffingCosts!D18</f>
        <v>#N/A</v>
      </c>
      <c r="E39" s="630" t="e">
        <f>CollectionStaffingCosts!E18</f>
        <v>#N/A</v>
      </c>
      <c r="F39" s="630" t="e">
        <f>CollectionStaffingCosts!F18</f>
        <v>#N/A</v>
      </c>
      <c r="G39" s="630" t="e">
        <f>CollectionStaffingCosts!G18</f>
        <v>#N/A</v>
      </c>
      <c r="H39" s="630" t="e">
        <f>CollectionStaffingCosts!H18</f>
        <v>#N/A</v>
      </c>
      <c r="I39" s="641" t="e">
        <f>CollectionStaffingCosts!I18</f>
        <v>#N/A</v>
      </c>
      <c r="J39" s="615">
        <v>35</v>
      </c>
      <c r="K39" s="623">
        <f>CollectionStaffingCosts!V18</f>
        <v>0</v>
      </c>
      <c r="L39" s="623" t="e">
        <f>CollectionStaffingCosts!W18</f>
        <v>#N/A</v>
      </c>
      <c r="M39" s="623" t="e">
        <f>CollectionStaffingCosts!X18</f>
        <v>#N/A</v>
      </c>
      <c r="N39" s="623" t="e">
        <f>CollectionStaffingCosts!Y18</f>
        <v>#N/A</v>
      </c>
      <c r="O39" s="623" t="e">
        <f>CollectionStaffingCosts!Z18</f>
        <v>#N/A</v>
      </c>
      <c r="P39" s="612" t="s">
        <v>490</v>
      </c>
    </row>
    <row r="40" spans="2:16" ht="14.15" customHeight="1" x14ac:dyDescent="0.25">
      <c r="B40" s="671" t="s">
        <v>1014</v>
      </c>
      <c r="C40" s="632"/>
      <c r="D40" s="632"/>
      <c r="E40" s="632"/>
      <c r="F40" s="632"/>
      <c r="G40" s="632"/>
      <c r="H40" s="632"/>
      <c r="I40" s="640"/>
      <c r="J40" s="615">
        <v>36</v>
      </c>
      <c r="K40" s="622"/>
      <c r="L40" s="622"/>
      <c r="M40" s="622"/>
      <c r="N40" s="622"/>
      <c r="O40" s="622"/>
      <c r="P40" s="612" t="s">
        <v>490</v>
      </c>
    </row>
    <row r="41" spans="2:16" ht="14.15" customHeight="1" x14ac:dyDescent="0.25">
      <c r="B41" s="669" t="str">
        <f>CollectionDisposalSavings!A8</f>
        <v>Annual Disposal Savings</v>
      </c>
      <c r="C41" s="635" t="e">
        <f>CollectionDisposalSavings!C8</f>
        <v>#N/A</v>
      </c>
      <c r="D41" s="635" t="e">
        <f>CollectionDisposalSavings!D8</f>
        <v>#N/A</v>
      </c>
      <c r="E41" s="635" t="e">
        <f>CollectionDisposalSavings!E8</f>
        <v>#N/A</v>
      </c>
      <c r="F41" s="635" t="e">
        <f>CollectionDisposalSavings!F8</f>
        <v>#N/A</v>
      </c>
      <c r="G41" s="635" t="e">
        <f>CollectionDisposalSavings!G8</f>
        <v>#N/A</v>
      </c>
      <c r="H41" s="635" t="e">
        <f>CollectionDisposalSavings!H8</f>
        <v>#N/A</v>
      </c>
      <c r="I41" s="642" t="e">
        <f>CollectionDisposalSavings!I8</f>
        <v>#N/A</v>
      </c>
      <c r="J41" s="615">
        <v>37</v>
      </c>
      <c r="K41" s="624" t="e">
        <f>-CollectionDisposalSavings!M8</f>
        <v>#N/A</v>
      </c>
      <c r="L41" s="624" t="e">
        <f>CollectionDisposalSavings!N8</f>
        <v>#N/A</v>
      </c>
      <c r="M41" s="624" t="e">
        <f>CollectionDisposalSavings!O8</f>
        <v>#N/A</v>
      </c>
      <c r="N41" s="624" t="e">
        <f>CollectionDisposalSavings!P8</f>
        <v>#N/A</v>
      </c>
      <c r="O41" s="624" t="e">
        <f>CollectionDisposalSavings!Q8</f>
        <v>#N/A</v>
      </c>
      <c r="P41" s="612" t="s">
        <v>490</v>
      </c>
    </row>
    <row r="42" spans="2:16" ht="14.15" customHeight="1" thickBot="1" x14ac:dyDescent="0.3">
      <c r="B42" s="672" t="s">
        <v>64</v>
      </c>
      <c r="C42" s="658" t="e">
        <f>C41/Input!$C$8</f>
        <v>#N/A</v>
      </c>
      <c r="D42" s="658" t="e">
        <f>D41/Input!$C$8</f>
        <v>#N/A</v>
      </c>
      <c r="E42" s="658" t="e">
        <f>E41/Input!$C$8</f>
        <v>#N/A</v>
      </c>
      <c r="F42" s="658" t="e">
        <f>F41/Input!$C$8</f>
        <v>#N/A</v>
      </c>
      <c r="G42" s="658" t="e">
        <f>G41/Input!$C$8</f>
        <v>#N/A</v>
      </c>
      <c r="H42" s="658" t="e">
        <f>H41/Input!$C$8</f>
        <v>#N/A</v>
      </c>
      <c r="I42" s="659" t="e">
        <f>I41/Input!$C$8</f>
        <v>#N/A</v>
      </c>
      <c r="J42" s="615">
        <v>38</v>
      </c>
      <c r="K42" s="625" t="e">
        <f>K41/Input!$C$8</f>
        <v>#N/A</v>
      </c>
      <c r="L42" s="625" t="e">
        <f>L41/Input!$C$8</f>
        <v>#N/A</v>
      </c>
      <c r="M42" s="625" t="e">
        <f>M41/Input!$C$8</f>
        <v>#N/A</v>
      </c>
      <c r="N42" s="625" t="e">
        <f>N41/Input!$C$8</f>
        <v>#N/A</v>
      </c>
      <c r="O42" s="625" t="e">
        <f>O41/Input!$C$8</f>
        <v>#N/A</v>
      </c>
      <c r="P42" s="612" t="s">
        <v>490</v>
      </c>
    </row>
    <row r="43" spans="2:16" ht="14.15" customHeight="1" x14ac:dyDescent="0.25">
      <c r="B43" s="655" t="s">
        <v>1015</v>
      </c>
      <c r="C43" s="660"/>
      <c r="D43" s="660"/>
      <c r="E43" s="660"/>
      <c r="F43" s="660"/>
      <c r="G43" s="660"/>
      <c r="H43" s="660"/>
      <c r="I43" s="661"/>
      <c r="J43" s="615">
        <v>39</v>
      </c>
      <c r="K43" s="622"/>
      <c r="L43" s="622"/>
      <c r="M43" s="622"/>
      <c r="N43" s="622"/>
      <c r="O43" s="622"/>
      <c r="P43" s="612" t="s">
        <v>490</v>
      </c>
    </row>
    <row r="44" spans="2:16" ht="14.15" customHeight="1" x14ac:dyDescent="0.25">
      <c r="B44" s="669" t="str">
        <f>'Transfer &amp; MRF Outputs'!A11</f>
        <v>Total Capital Cost</v>
      </c>
      <c r="C44" s="635" t="e">
        <f>ROUND('Transfer &amp; MRF Outputs'!B11,-3)</f>
        <v>#N/A</v>
      </c>
      <c r="D44" s="635" t="e">
        <f>ROUND('Transfer &amp; MRF Outputs'!C11,-3)</f>
        <v>#N/A</v>
      </c>
      <c r="E44" s="635" t="e">
        <f>ROUND('Transfer &amp; MRF Outputs'!D11,-3)</f>
        <v>#N/A</v>
      </c>
      <c r="F44" s="635" t="e">
        <f>ROUND('Transfer &amp; MRF Outputs'!E11,-3)</f>
        <v>#N/A</v>
      </c>
      <c r="G44" s="635" t="e">
        <f>ROUND('Transfer &amp; MRF Outputs'!F11,-3)</f>
        <v>#N/A</v>
      </c>
      <c r="H44" s="635" t="e">
        <f>ROUND('Transfer &amp; MRF Outputs'!G11,-3)</f>
        <v>#N/A</v>
      </c>
      <c r="I44" s="642" t="e">
        <f>ROUND('Transfer &amp; MRF Outputs'!H11,-3)</f>
        <v>#N/A</v>
      </c>
      <c r="J44" s="615">
        <v>40</v>
      </c>
      <c r="K44" s="624" t="e">
        <f>-'Transfer &amp; MRF Outputs'!#REF!</f>
        <v>#REF!</v>
      </c>
      <c r="L44" s="624" t="e">
        <f>-'Transfer &amp; MRF Outputs'!#REF!</f>
        <v>#REF!</v>
      </c>
      <c r="M44" s="624" t="e">
        <f>-'Transfer &amp; MRF Outputs'!#REF!</f>
        <v>#REF!</v>
      </c>
      <c r="N44" s="624" t="e">
        <f>-'Transfer &amp; MRF Outputs'!#REF!</f>
        <v>#REF!</v>
      </c>
      <c r="O44" s="624" t="e">
        <f>-'Transfer &amp; MRF Outputs'!#REF!</f>
        <v>#REF!</v>
      </c>
      <c r="P44" s="612" t="s">
        <v>957</v>
      </c>
    </row>
    <row r="45" spans="2:16" ht="14.15" customHeight="1" x14ac:dyDescent="0.25">
      <c r="B45" s="669"/>
      <c r="C45" s="635"/>
      <c r="D45" s="635"/>
      <c r="E45" s="635"/>
      <c r="F45" s="635"/>
      <c r="G45" s="635"/>
      <c r="H45" s="635"/>
      <c r="I45" s="642"/>
      <c r="J45" s="615">
        <v>41</v>
      </c>
      <c r="K45" s="624" t="e">
        <f>'Transfer &amp; MRF Outputs'!#REF!</f>
        <v>#REF!</v>
      </c>
      <c r="L45" s="624" t="e">
        <f>'Transfer &amp; MRF Outputs'!#REF!</f>
        <v>#REF!</v>
      </c>
      <c r="M45" s="624" t="e">
        <f>'Transfer &amp; MRF Outputs'!#REF!</f>
        <v>#REF!</v>
      </c>
      <c r="N45" s="624" t="e">
        <f>'Transfer &amp; MRF Outputs'!#REF!</f>
        <v>#REF!</v>
      </c>
      <c r="O45" s="624" t="e">
        <f>'Transfer &amp; MRF Outputs'!#REF!</f>
        <v>#REF!</v>
      </c>
      <c r="P45" s="612" t="s">
        <v>957</v>
      </c>
    </row>
    <row r="46" spans="2:16" ht="14.15" customHeight="1" x14ac:dyDescent="0.25">
      <c r="B46" s="669" t="str">
        <f>'Transfer &amp; MRF Outputs'!A12</f>
        <v>Total Annual Facility Costs</v>
      </c>
      <c r="C46" s="635" t="e">
        <f>'Transfer &amp; MRF Outputs'!B12</f>
        <v>#N/A</v>
      </c>
      <c r="D46" s="635" t="e">
        <f>'Transfer &amp; MRF Outputs'!C12</f>
        <v>#N/A</v>
      </c>
      <c r="E46" s="635" t="e">
        <f>'Transfer &amp; MRF Outputs'!D12</f>
        <v>#N/A</v>
      </c>
      <c r="F46" s="635" t="e">
        <f>'Transfer &amp; MRF Outputs'!E12</f>
        <v>#N/A</v>
      </c>
      <c r="G46" s="635" t="e">
        <f>'Transfer &amp; MRF Outputs'!F12</f>
        <v>#N/A</v>
      </c>
      <c r="H46" s="635" t="e">
        <f>'Transfer &amp; MRF Outputs'!G12</f>
        <v>#N/A</v>
      </c>
      <c r="I46" s="642" t="e">
        <f>'Transfer &amp; MRF Outputs'!H12</f>
        <v>#N/A</v>
      </c>
      <c r="J46" s="615">
        <v>42</v>
      </c>
      <c r="K46" s="624" t="e">
        <f>'Transfer &amp; MRF Outputs'!#REF!</f>
        <v>#REF!</v>
      </c>
      <c r="L46" s="624" t="e">
        <f>'Transfer &amp; MRF Outputs'!#REF!</f>
        <v>#REF!</v>
      </c>
      <c r="M46" s="624" t="e">
        <f>'Transfer &amp; MRF Outputs'!#REF!</f>
        <v>#REF!</v>
      </c>
      <c r="N46" s="624" t="e">
        <f>'Transfer &amp; MRF Outputs'!#REF!</f>
        <v>#REF!</v>
      </c>
      <c r="O46" s="624" t="e">
        <f>'Transfer &amp; MRF Outputs'!#REF!</f>
        <v>#REF!</v>
      </c>
      <c r="P46" s="612" t="s">
        <v>957</v>
      </c>
    </row>
    <row r="47" spans="2:16" ht="14.15" customHeight="1" x14ac:dyDescent="0.25">
      <c r="B47" s="669" t="s">
        <v>1064</v>
      </c>
      <c r="C47" s="635" t="e">
        <f>ROUND('Transfer &amp; MRF Outputs'!B31,-3)</f>
        <v>#N/A</v>
      </c>
      <c r="D47" s="635" t="e">
        <f>ROUND('Transfer &amp; MRF Outputs'!C31,-3)</f>
        <v>#N/A</v>
      </c>
      <c r="E47" s="635" t="e">
        <f>ROUND('Transfer &amp; MRF Outputs'!D31,-3)</f>
        <v>#N/A</v>
      </c>
      <c r="F47" s="635" t="e">
        <f>ROUND('Transfer &amp; MRF Outputs'!E31,-3)</f>
        <v>#N/A</v>
      </c>
      <c r="G47" s="635" t="e">
        <f>ROUND('Transfer &amp; MRF Outputs'!F31,-3)</f>
        <v>#N/A</v>
      </c>
      <c r="H47" s="635" t="e">
        <f>ROUND('Transfer &amp; MRF Outputs'!G31,-3)</f>
        <v>#N/A</v>
      </c>
      <c r="I47" s="642" t="e">
        <f>ROUND('Transfer &amp; MRF Outputs'!H31,-3)</f>
        <v>#N/A</v>
      </c>
      <c r="J47" s="615">
        <v>43</v>
      </c>
      <c r="K47" s="624" t="e">
        <f>K45+K46</f>
        <v>#REF!</v>
      </c>
      <c r="L47" s="624" t="e">
        <f t="shared" ref="L47:O47" si="7">L45+L46</f>
        <v>#REF!</v>
      </c>
      <c r="M47" s="624" t="e">
        <f t="shared" si="7"/>
        <v>#REF!</v>
      </c>
      <c r="N47" s="624" t="e">
        <f t="shared" si="7"/>
        <v>#REF!</v>
      </c>
      <c r="O47" s="624" t="e">
        <f t="shared" si="7"/>
        <v>#REF!</v>
      </c>
      <c r="P47" s="612" t="s">
        <v>957</v>
      </c>
    </row>
    <row r="48" spans="2:16" ht="14.15" customHeight="1" x14ac:dyDescent="0.25">
      <c r="B48" s="669" t="str">
        <f>'Transfer &amp; MRF Outputs'!A13</f>
        <v>Total Facility Cost per Ton</v>
      </c>
      <c r="C48" s="635" t="e">
        <f>'Transfer &amp; MRF Outputs'!B13</f>
        <v>#N/A</v>
      </c>
      <c r="D48" s="635" t="e">
        <f>'Transfer &amp; MRF Outputs'!C13</f>
        <v>#N/A</v>
      </c>
      <c r="E48" s="635" t="e">
        <f>'Transfer &amp; MRF Outputs'!D13</f>
        <v>#N/A</v>
      </c>
      <c r="F48" s="635" t="e">
        <f>'Transfer &amp; MRF Outputs'!E13</f>
        <v>#N/A</v>
      </c>
      <c r="G48" s="635" t="e">
        <f>'Transfer &amp; MRF Outputs'!F13</f>
        <v>#N/A</v>
      </c>
      <c r="H48" s="635" t="e">
        <f>'Transfer &amp; MRF Outputs'!G13</f>
        <v>#N/A</v>
      </c>
      <c r="I48" s="642" t="e">
        <f>'Transfer &amp; MRF Outputs'!H13</f>
        <v>#N/A</v>
      </c>
      <c r="J48" s="615">
        <v>44</v>
      </c>
      <c r="K48" s="625" t="e">
        <f>'Transfer &amp; MRF Outputs'!#REF!</f>
        <v>#REF!</v>
      </c>
      <c r="L48" s="625" t="e">
        <f>'Transfer &amp; MRF Outputs'!#REF!</f>
        <v>#REF!</v>
      </c>
      <c r="M48" s="625" t="e">
        <f>'Transfer &amp; MRF Outputs'!#REF!</f>
        <v>#REF!</v>
      </c>
      <c r="N48" s="625" t="e">
        <f>'Transfer &amp; MRF Outputs'!#REF!</f>
        <v>#REF!</v>
      </c>
      <c r="O48" s="625" t="e">
        <f>'Transfer &amp; MRF Outputs'!#REF!</f>
        <v>#REF!</v>
      </c>
      <c r="P48" s="612" t="s">
        <v>957</v>
      </c>
    </row>
    <row r="49" spans="2:16" s="626" customFormat="1" ht="14.15" customHeight="1" x14ac:dyDescent="0.25">
      <c r="B49" s="673" t="str">
        <f>'Transfer &amp; MRF Outputs'!A19</f>
        <v>Transfer Cost per Ton</v>
      </c>
      <c r="C49" s="675" t="e">
        <f>'Transfer &amp; MRF Outputs'!B19</f>
        <v>#N/A</v>
      </c>
      <c r="D49" s="675" t="e">
        <f>'Transfer &amp; MRF Outputs'!C19</f>
        <v>#N/A</v>
      </c>
      <c r="E49" s="675" t="e">
        <f>'Transfer &amp; MRF Outputs'!D19</f>
        <v>#N/A</v>
      </c>
      <c r="F49" s="675" t="e">
        <f>'Transfer &amp; MRF Outputs'!E19</f>
        <v>#N/A</v>
      </c>
      <c r="G49" s="675" t="e">
        <f>'Transfer &amp; MRF Outputs'!F19</f>
        <v>#N/A</v>
      </c>
      <c r="H49" s="675" t="e">
        <f>'Transfer &amp; MRF Outputs'!G19</f>
        <v>#N/A</v>
      </c>
      <c r="I49" s="676" t="e">
        <f>'Transfer &amp; MRF Outputs'!H19</f>
        <v>#N/A</v>
      </c>
      <c r="J49" s="627">
        <v>45</v>
      </c>
      <c r="K49" s="628" t="e">
        <f>'Transfer &amp; MRF Outputs'!#REF!</f>
        <v>#REF!</v>
      </c>
      <c r="L49" s="628" t="e">
        <f>'Transfer &amp; MRF Outputs'!#REF!</f>
        <v>#REF!</v>
      </c>
      <c r="M49" s="628" t="e">
        <f>'Transfer &amp; MRF Outputs'!#REF!</f>
        <v>#REF!</v>
      </c>
      <c r="N49" s="628" t="e">
        <f>'Transfer &amp; MRF Outputs'!#REF!</f>
        <v>#REF!</v>
      </c>
      <c r="O49" s="628" t="e">
        <f>'Transfer &amp; MRF Outputs'!#REF!</f>
        <v>#REF!</v>
      </c>
      <c r="P49" s="626" t="s">
        <v>957</v>
      </c>
    </row>
    <row r="50" spans="2:16" s="619" customFormat="1" ht="14.15" customHeight="1" x14ac:dyDescent="0.25">
      <c r="B50" s="673" t="s">
        <v>66</v>
      </c>
      <c r="C50" s="633" t="e">
        <f>'Transfer &amp; MRF Outputs'!B29</f>
        <v>#N/A</v>
      </c>
      <c r="D50" s="633" t="e">
        <f>'Transfer &amp; MRF Outputs'!C29</f>
        <v>#N/A</v>
      </c>
      <c r="E50" s="633" t="e">
        <f>'Transfer &amp; MRF Outputs'!D29</f>
        <v>#N/A</v>
      </c>
      <c r="F50" s="633" t="e">
        <f>'Transfer &amp; MRF Outputs'!E29</f>
        <v>#N/A</v>
      </c>
      <c r="G50" s="633" t="e">
        <f>'Transfer &amp; MRF Outputs'!F29</f>
        <v>#N/A</v>
      </c>
      <c r="H50" s="633" t="e">
        <f>'Transfer &amp; MRF Outputs'!G29</f>
        <v>#N/A</v>
      </c>
      <c r="I50" s="638" t="e">
        <f>'Transfer &amp; MRF Outputs'!H29</f>
        <v>#N/A</v>
      </c>
      <c r="J50" s="615">
        <v>46</v>
      </c>
      <c r="K50" s="620" t="e">
        <f>'Transfer &amp; MRF Outputs'!#REF!</f>
        <v>#REF!</v>
      </c>
      <c r="L50" s="620" t="e">
        <f>'Transfer &amp; MRF Outputs'!#REF!</f>
        <v>#REF!</v>
      </c>
      <c r="M50" s="620" t="e">
        <f>'Transfer &amp; MRF Outputs'!#REF!</f>
        <v>#REF!</v>
      </c>
      <c r="N50" s="620" t="e">
        <f>'Transfer &amp; MRF Outputs'!#REF!</f>
        <v>#REF!</v>
      </c>
      <c r="O50" s="620" t="e">
        <f>'Transfer &amp; MRF Outputs'!#REF!</f>
        <v>#REF!</v>
      </c>
      <c r="P50" s="612" t="s">
        <v>957</v>
      </c>
    </row>
    <row r="51" spans="2:16" ht="14.15" customHeight="1" thickBot="1" x14ac:dyDescent="0.3">
      <c r="B51" s="672" t="s">
        <v>67</v>
      </c>
      <c r="C51" s="677" t="e">
        <f>'Transfer &amp; MRF Outputs'!B30</f>
        <v>#N/A</v>
      </c>
      <c r="D51" s="677" t="e">
        <f>'Transfer &amp; MRF Outputs'!C30</f>
        <v>#N/A</v>
      </c>
      <c r="E51" s="677" t="e">
        <f>'Transfer &amp; MRF Outputs'!D30</f>
        <v>#N/A</v>
      </c>
      <c r="F51" s="677" t="e">
        <f>'Transfer &amp; MRF Outputs'!E30</f>
        <v>#N/A</v>
      </c>
      <c r="G51" s="677" t="e">
        <f>'Transfer &amp; MRF Outputs'!F30</f>
        <v>#N/A</v>
      </c>
      <c r="H51" s="677" t="e">
        <f>'Transfer &amp; MRF Outputs'!G30</f>
        <v>#N/A</v>
      </c>
      <c r="I51" s="678" t="e">
        <f>'Transfer &amp; MRF Outputs'!H30</f>
        <v>#N/A</v>
      </c>
      <c r="J51" s="615">
        <v>47</v>
      </c>
      <c r="K51" s="625" t="e">
        <f>'Transfer &amp; MRF Outputs'!#REF!</f>
        <v>#REF!</v>
      </c>
      <c r="L51" s="625" t="e">
        <f>'Transfer &amp; MRF Outputs'!#REF!</f>
        <v>#REF!</v>
      </c>
      <c r="M51" s="625" t="e">
        <f>'Transfer &amp; MRF Outputs'!#REF!</f>
        <v>#REF!</v>
      </c>
      <c r="N51" s="625" t="e">
        <f>'Transfer &amp; MRF Outputs'!#REF!</f>
        <v>#REF!</v>
      </c>
      <c r="O51" s="625" t="e">
        <f>'Transfer &amp; MRF Outputs'!#REF!</f>
        <v>#REF!</v>
      </c>
      <c r="P51" s="612" t="s">
        <v>957</v>
      </c>
    </row>
    <row r="52" spans="2:16" ht="14.15" customHeight="1" x14ac:dyDescent="0.25">
      <c r="B52" s="655" t="s">
        <v>68</v>
      </c>
      <c r="C52" s="662"/>
      <c r="D52" s="662"/>
      <c r="E52" s="662"/>
      <c r="F52" s="662"/>
      <c r="G52" s="662"/>
      <c r="H52" s="662"/>
      <c r="I52" s="663"/>
      <c r="J52" s="615">
        <v>48</v>
      </c>
      <c r="K52" s="625"/>
      <c r="L52" s="625"/>
      <c r="M52" s="625"/>
      <c r="N52" s="625"/>
      <c r="O52" s="625"/>
      <c r="P52" s="612" t="s">
        <v>490</v>
      </c>
    </row>
    <row r="53" spans="2:16" ht="14.15" customHeight="1" x14ac:dyDescent="0.25">
      <c r="B53" s="669" t="s">
        <v>69</v>
      </c>
      <c r="C53" s="635" t="e">
        <f t="shared" ref="C53:I53" si="8">C11+C51</f>
        <v>#N/A</v>
      </c>
      <c r="D53" s="635" t="e">
        <f t="shared" si="8"/>
        <v>#N/A</v>
      </c>
      <c r="E53" s="635" t="e">
        <f t="shared" si="8"/>
        <v>#N/A</v>
      </c>
      <c r="F53" s="635" t="e">
        <f t="shared" si="8"/>
        <v>#N/A</v>
      </c>
      <c r="G53" s="635" t="e">
        <f t="shared" si="8"/>
        <v>#N/A</v>
      </c>
      <c r="H53" s="635" t="e">
        <f t="shared" si="8"/>
        <v>#N/A</v>
      </c>
      <c r="I53" s="679" t="e">
        <f t="shared" si="8"/>
        <v>#N/A</v>
      </c>
      <c r="J53" s="615">
        <v>49</v>
      </c>
      <c r="K53" s="625" t="e">
        <f>K11+K42+K51</f>
        <v>#N/A</v>
      </c>
      <c r="L53" s="625" t="e">
        <f>L11+L42+L51</f>
        <v>#N/A</v>
      </c>
      <c r="M53" s="625" t="e">
        <f>M11+M42+M51</f>
        <v>#N/A</v>
      </c>
      <c r="N53" s="625" t="e">
        <f>N11+N42+N51</f>
        <v>#N/A</v>
      </c>
      <c r="O53" s="625" t="e">
        <f>O11+O42+O51</f>
        <v>#N/A</v>
      </c>
      <c r="P53" s="612" t="s">
        <v>490</v>
      </c>
    </row>
    <row r="54" spans="2:16" ht="14.15" customHeight="1" thickBot="1" x14ac:dyDescent="0.3">
      <c r="B54" s="672" t="s">
        <v>1016</v>
      </c>
      <c r="C54" s="677" t="e">
        <f>C13+C50+CollectionDisposalSavings!C3</f>
        <v>#N/A</v>
      </c>
      <c r="D54" s="677" t="e">
        <f>D13+D50+CollectionDisposalSavings!D3</f>
        <v>#N/A</v>
      </c>
      <c r="E54" s="677" t="e">
        <f>E13+E50+CollectionDisposalSavings!E3</f>
        <v>#N/A</v>
      </c>
      <c r="F54" s="677" t="e">
        <f>F13+F50+CollectionDisposalSavings!F3</f>
        <v>#N/A</v>
      </c>
      <c r="G54" s="677" t="e">
        <f>G13+G50+CollectionDisposalSavings!G3</f>
        <v>#N/A</v>
      </c>
      <c r="H54" s="677" t="e">
        <f>H13+H50+CollectionDisposalSavings!H3</f>
        <v>#N/A</v>
      </c>
      <c r="I54" s="678" t="e">
        <f>I13+I50+CollectionDisposalSavings!I3</f>
        <v>#N/A</v>
      </c>
      <c r="J54" s="615">
        <v>50</v>
      </c>
      <c r="K54" s="625" t="e">
        <f>K13+K50+CollectionDisposalSavings!M3</f>
        <v>#N/A</v>
      </c>
      <c r="L54" s="625" t="e">
        <f>L13+L50+CollectionDisposalSavings!N3</f>
        <v>#N/A</v>
      </c>
      <c r="M54" s="625" t="e">
        <f>M13+M50+CollectionDisposalSavings!O3</f>
        <v>#N/A</v>
      </c>
      <c r="N54" s="625" t="e">
        <f>N13+N50+CollectionDisposalSavings!P3</f>
        <v>#N/A</v>
      </c>
      <c r="O54" s="625" t="e">
        <f>O13+O50+CollectionDisposalSavings!Q3</f>
        <v>#N/A</v>
      </c>
      <c r="P54" s="612" t="s">
        <v>490</v>
      </c>
    </row>
    <row r="55" spans="2:16" ht="14.15" customHeight="1" x14ac:dyDescent="0.25">
      <c r="B55" s="655" t="s">
        <v>484</v>
      </c>
      <c r="C55" s="660"/>
      <c r="D55" s="660"/>
      <c r="E55" s="660"/>
      <c r="F55" s="660"/>
      <c r="G55" s="660"/>
      <c r="H55" s="660"/>
      <c r="I55" s="661"/>
      <c r="J55" s="615">
        <v>51</v>
      </c>
      <c r="K55" s="622"/>
      <c r="L55" s="622"/>
      <c r="M55" s="622"/>
      <c r="N55" s="622"/>
      <c r="O55" s="622"/>
      <c r="P55" s="612" t="s">
        <v>490</v>
      </c>
    </row>
    <row r="56" spans="2:16" ht="14.15" customHeight="1" x14ac:dyDescent="0.25">
      <c r="B56" s="669" t="s">
        <v>59</v>
      </c>
      <c r="C56" s="736" t="e">
        <f>ROUND('Transfer &amp; MRF Outputs'!B39,-3)</f>
        <v>#N/A</v>
      </c>
      <c r="D56" s="736" t="e">
        <f>ROUND('Transfer &amp; MRF Outputs'!C39,-3)</f>
        <v>#N/A</v>
      </c>
      <c r="E56" s="736" t="e">
        <f>ROUND('Transfer &amp; MRF Outputs'!D39,-3)</f>
        <v>#N/A</v>
      </c>
      <c r="F56" s="736" t="e">
        <f>ROUND('Transfer &amp; MRF Outputs'!E39,-3)</f>
        <v>#N/A</v>
      </c>
      <c r="G56" s="736" t="e">
        <f>ROUND('Transfer &amp; MRF Outputs'!F39,-3)</f>
        <v>#N/A</v>
      </c>
      <c r="H56" s="736" t="e">
        <f>ROUND('Transfer &amp; MRF Outputs'!G39,-3)</f>
        <v>#N/A</v>
      </c>
      <c r="I56" s="737" t="e">
        <f>ROUND('Transfer &amp; MRF Outputs'!H39,-3)</f>
        <v>#N/A</v>
      </c>
      <c r="J56" s="615">
        <v>52</v>
      </c>
      <c r="K56" s="622"/>
      <c r="L56" s="741" t="e">
        <f>-ROUND('ASP Model_YW'!F90,-3)</f>
        <v>#N/A</v>
      </c>
      <c r="M56" s="740" t="e">
        <f>-ROUND('Windrow Model_YW'!F66,-3)</f>
        <v>#N/A</v>
      </c>
      <c r="N56" s="740" t="e">
        <f>-ROUND('ASP Model_YW+FW'!F90,-3)</f>
        <v>#N/A</v>
      </c>
      <c r="O56" s="740" t="e">
        <f>-ROUND('Windrow Model_YW+FW'!F66,-3)</f>
        <v>#N/A</v>
      </c>
    </row>
    <row r="57" spans="2:16" ht="14.15" customHeight="1" x14ac:dyDescent="0.25">
      <c r="B57" s="669" t="s">
        <v>54</v>
      </c>
      <c r="C57" s="736" t="e">
        <f>ROUND('Transfer &amp; MRF Outputs'!B38,-3)</f>
        <v>#N/A</v>
      </c>
      <c r="D57" s="736" t="e">
        <f>ROUND('Transfer &amp; MRF Outputs'!C38,-3)</f>
        <v>#N/A</v>
      </c>
      <c r="E57" s="736" t="e">
        <f>ROUND('Transfer &amp; MRF Outputs'!D38,-3)</f>
        <v>#N/A</v>
      </c>
      <c r="F57" s="736" t="e">
        <f>ROUND('Transfer &amp; MRF Outputs'!E38,-3)</f>
        <v>#N/A</v>
      </c>
      <c r="G57" s="736" t="e">
        <f>ROUND('Transfer &amp; MRF Outputs'!F38,-3)</f>
        <v>#N/A</v>
      </c>
      <c r="H57" s="736" t="e">
        <f>ROUND('Transfer &amp; MRF Outputs'!G38,-3)</f>
        <v>#N/A</v>
      </c>
      <c r="I57" s="737" t="e">
        <f>ROUND('Transfer &amp; MRF Outputs'!H38,-3)</f>
        <v>#N/A</v>
      </c>
      <c r="J57" s="615">
        <v>53</v>
      </c>
      <c r="K57" s="629" t="e">
        <f>ROUND('Transfer &amp; MRF Outputs'!#REF!,-2)</f>
        <v>#REF!</v>
      </c>
      <c r="L57" s="740" t="e">
        <f>-ROUND('ASP Model_YW'!F122,-3)</f>
        <v>#N/A</v>
      </c>
      <c r="M57" s="740" t="e">
        <f>-ROUND('Windrow Model_YW'!F97,-3)</f>
        <v>#N/A</v>
      </c>
      <c r="N57" s="740" t="e">
        <f>-ROUND('ASP Model_YW+FW'!F122,-3)</f>
        <v>#N/A</v>
      </c>
      <c r="O57" s="740" t="e">
        <f>-ROUND('Windrow Model_YW+FW'!F97,-3)</f>
        <v>#N/A</v>
      </c>
      <c r="P57" s="612" t="s">
        <v>605</v>
      </c>
    </row>
    <row r="58" spans="2:16" ht="14.15" customHeight="1" x14ac:dyDescent="0.25">
      <c r="B58" s="669" t="s">
        <v>69</v>
      </c>
      <c r="C58" s="736" t="e">
        <f>'Transfer &amp; MRF Outputs'!B43</f>
        <v>#N/A</v>
      </c>
      <c r="D58" s="736" t="e">
        <f>'Transfer &amp; MRF Outputs'!C43</f>
        <v>#N/A</v>
      </c>
      <c r="E58" s="736" t="e">
        <f>'Transfer &amp; MRF Outputs'!D43</f>
        <v>#N/A</v>
      </c>
      <c r="F58" s="736" t="e">
        <f>'Transfer &amp; MRF Outputs'!E43</f>
        <v>#N/A</v>
      </c>
      <c r="G58" s="736" t="e">
        <f>'Transfer &amp; MRF Outputs'!F43</f>
        <v>#N/A</v>
      </c>
      <c r="H58" s="736" t="e">
        <f>'Transfer &amp; MRF Outputs'!G43</f>
        <v>#N/A</v>
      </c>
      <c r="I58" s="737" t="e">
        <f>'Transfer &amp; MRF Outputs'!H43</f>
        <v>#N/A</v>
      </c>
      <c r="J58" s="615">
        <v>54</v>
      </c>
      <c r="K58" s="620" t="e">
        <f>'Transfer &amp; MRF Outputs'!#REF!</f>
        <v>#REF!</v>
      </c>
      <c r="L58" s="740" t="e">
        <f>L57/Input!C8</f>
        <v>#N/A</v>
      </c>
      <c r="M58" s="740" t="e">
        <f>M57/Input!C8</f>
        <v>#N/A</v>
      </c>
      <c r="N58" s="740" t="e">
        <f>N57/Input!C8</f>
        <v>#N/A</v>
      </c>
      <c r="O58" s="740" t="e">
        <f>O57/Input!C8</f>
        <v>#N/A</v>
      </c>
      <c r="P58" s="612" t="s">
        <v>605</v>
      </c>
    </row>
    <row r="59" spans="2:16" ht="14.15" customHeight="1" thickBot="1" x14ac:dyDescent="0.3">
      <c r="B59" s="672" t="s">
        <v>57</v>
      </c>
      <c r="C59" s="738" t="e">
        <f>'Transfer &amp; MRF Outputs'!B42</f>
        <v>#N/A</v>
      </c>
      <c r="D59" s="738" t="e">
        <f>'Transfer &amp; MRF Outputs'!C42</f>
        <v>#N/A</v>
      </c>
      <c r="E59" s="738" t="e">
        <f>'Transfer &amp; MRF Outputs'!D42</f>
        <v>#N/A</v>
      </c>
      <c r="F59" s="738" t="e">
        <f>'Transfer &amp; MRF Outputs'!E42</f>
        <v>#N/A</v>
      </c>
      <c r="G59" s="738" t="e">
        <f>'Transfer &amp; MRF Outputs'!F42</f>
        <v>#N/A</v>
      </c>
      <c r="H59" s="738" t="e">
        <f>'Transfer &amp; MRF Outputs'!G42</f>
        <v>#N/A</v>
      </c>
      <c r="I59" s="739" t="e">
        <f>'Transfer &amp; MRF Outputs'!H42</f>
        <v>#N/A</v>
      </c>
      <c r="J59" s="615">
        <v>55</v>
      </c>
      <c r="K59" s="620" t="e">
        <f>'Transfer &amp; MRF Outputs'!#REF!</f>
        <v>#REF!</v>
      </c>
      <c r="L59" s="740" t="e">
        <f>'ASP Model_YW'!F8</f>
        <v>#N/A</v>
      </c>
      <c r="M59" s="740" t="e">
        <f>'Windrow Model_YW'!F8</f>
        <v>#N/A</v>
      </c>
      <c r="N59" s="740" t="e">
        <f>'ASP Model_YW+FW'!F8</f>
        <v>#N/A</v>
      </c>
      <c r="O59" s="740" t="e">
        <f>'Windrow Model_YW+FW'!F8</f>
        <v>#N/A</v>
      </c>
      <c r="P59" s="612" t="s">
        <v>605</v>
      </c>
    </row>
    <row r="60" spans="2:16" ht="14.15" customHeight="1" x14ac:dyDescent="0.25">
      <c r="B60" s="649" t="s">
        <v>71</v>
      </c>
      <c r="C60" s="664"/>
      <c r="D60" s="664"/>
      <c r="E60" s="664"/>
      <c r="F60" s="664"/>
      <c r="G60" s="664"/>
      <c r="H60" s="664"/>
      <c r="I60" s="665"/>
      <c r="J60" s="615">
        <v>56</v>
      </c>
      <c r="K60" s="620"/>
      <c r="L60" s="620"/>
      <c r="M60" s="620"/>
      <c r="N60" s="620"/>
      <c r="O60" s="620"/>
      <c r="P60" s="612" t="s">
        <v>490</v>
      </c>
    </row>
    <row r="61" spans="2:16" ht="13.5" customHeight="1" thickBot="1" x14ac:dyDescent="0.3">
      <c r="B61" s="666" t="s">
        <v>57</v>
      </c>
      <c r="C61" s="680" t="e">
        <f t="shared" ref="C61:H61" si="9">IF(C59&lt;0,C59+C13,0)</f>
        <v>#N/A</v>
      </c>
      <c r="D61" s="680" t="e">
        <f t="shared" si="9"/>
        <v>#N/A</v>
      </c>
      <c r="E61" s="680" t="e">
        <f t="shared" si="9"/>
        <v>#N/A</v>
      </c>
      <c r="F61" s="680" t="e">
        <f t="shared" si="9"/>
        <v>#N/A</v>
      </c>
      <c r="G61" s="680" t="e">
        <f t="shared" si="9"/>
        <v>#N/A</v>
      </c>
      <c r="H61" s="680" t="e">
        <f t="shared" si="9"/>
        <v>#N/A</v>
      </c>
      <c r="I61" s="681" t="e">
        <f>IF(I59&lt;0,I59+I13,0)</f>
        <v>#N/A</v>
      </c>
      <c r="J61" s="615">
        <v>57</v>
      </c>
      <c r="K61" s="620" t="e">
        <f>IF(K59&lt;0,K59+K42+K13,0)</f>
        <v>#REF!</v>
      </c>
      <c r="L61" s="620" t="e">
        <f>IF(L59&lt;0,L59+L42+L13,0)</f>
        <v>#N/A</v>
      </c>
      <c r="M61" s="620" t="e">
        <f>IF(M59&lt;0,M59+M42+M13,0)</f>
        <v>#N/A</v>
      </c>
      <c r="N61" s="620" t="e">
        <f>IF(N59&lt;0,N59+N42+N13,0)</f>
        <v>#N/A</v>
      </c>
      <c r="O61" s="620" t="e">
        <f>IF(O59&lt;0,O59+O42+O13,0)</f>
        <v>#N/A</v>
      </c>
      <c r="P61" s="612" t="s">
        <v>1006</v>
      </c>
    </row>
    <row r="62" spans="2:16" x14ac:dyDescent="0.25">
      <c r="B62" s="655" t="s">
        <v>72</v>
      </c>
      <c r="C62" s="667"/>
      <c r="D62" s="667"/>
      <c r="E62" s="667"/>
      <c r="F62" s="667"/>
      <c r="G62" s="667"/>
      <c r="H62" s="667"/>
      <c r="I62" s="668"/>
      <c r="J62" s="615">
        <v>58</v>
      </c>
      <c r="K62" s="623"/>
      <c r="L62" s="623"/>
      <c r="M62" s="623"/>
      <c r="N62" s="623"/>
      <c r="O62" s="623"/>
      <c r="P62" s="612" t="s">
        <v>490</v>
      </c>
    </row>
    <row r="63" spans="2:16" x14ac:dyDescent="0.25">
      <c r="B63" s="669" t="s">
        <v>1052</v>
      </c>
      <c r="C63" s="633" t="e">
        <f>C69/C6</f>
        <v>#N/A</v>
      </c>
      <c r="D63" s="633" t="e">
        <f t="shared" ref="D63:I63" si="10">D69/D6</f>
        <v>#N/A</v>
      </c>
      <c r="E63" s="633" t="e">
        <f t="shared" si="10"/>
        <v>#N/A</v>
      </c>
      <c r="F63" s="633" t="e">
        <f t="shared" si="10"/>
        <v>#N/A</v>
      </c>
      <c r="G63" s="633" t="e">
        <f t="shared" si="10"/>
        <v>#N/A</v>
      </c>
      <c r="H63" s="633" t="e">
        <f t="shared" si="10"/>
        <v>#N/A</v>
      </c>
      <c r="I63" s="638" t="e">
        <f t="shared" si="10"/>
        <v>#N/A</v>
      </c>
      <c r="J63" s="615">
        <v>59</v>
      </c>
      <c r="K63" s="618" t="e">
        <f>K64/K6</f>
        <v>#N/A</v>
      </c>
      <c r="L63" s="618" t="e">
        <f>L69/L6</f>
        <v>#N/A</v>
      </c>
      <c r="M63" s="618" t="e">
        <f t="shared" ref="M63:O63" si="11">M69/M6</f>
        <v>#N/A</v>
      </c>
      <c r="N63" s="618" t="e">
        <f t="shared" si="11"/>
        <v>#N/A</v>
      </c>
      <c r="O63" s="618" t="e">
        <f t="shared" si="11"/>
        <v>#N/A</v>
      </c>
      <c r="P63" s="612" t="s">
        <v>490</v>
      </c>
    </row>
    <row r="64" spans="2:16" x14ac:dyDescent="0.25">
      <c r="B64" s="669"/>
      <c r="C64" s="635"/>
      <c r="D64" s="635"/>
      <c r="E64" s="635"/>
      <c r="F64" s="635"/>
      <c r="G64" s="635"/>
      <c r="H64" s="635"/>
      <c r="I64" s="642"/>
      <c r="J64" s="615">
        <v>60</v>
      </c>
      <c r="K64" s="624"/>
      <c r="L64" s="624"/>
      <c r="M64" s="624"/>
      <c r="N64" s="624"/>
      <c r="O64" s="624"/>
      <c r="P64" s="612" t="s">
        <v>490</v>
      </c>
    </row>
    <row r="65" spans="2:16" x14ac:dyDescent="0.25">
      <c r="B65" s="669"/>
      <c r="C65" s="633"/>
      <c r="D65" s="633"/>
      <c r="E65" s="633"/>
      <c r="F65" s="633"/>
      <c r="G65" s="633"/>
      <c r="H65" s="633"/>
      <c r="I65" s="638"/>
      <c r="J65" s="615">
        <v>61</v>
      </c>
      <c r="K65" s="618"/>
      <c r="L65" s="618"/>
      <c r="M65" s="618"/>
      <c r="N65" s="618"/>
      <c r="O65" s="618"/>
      <c r="P65" s="612" t="s">
        <v>490</v>
      </c>
    </row>
    <row r="66" spans="2:16" x14ac:dyDescent="0.25">
      <c r="B66" s="669" t="s">
        <v>1053</v>
      </c>
      <c r="C66" s="633" t="e">
        <f>-CollectionStaffingCosts!M21</f>
        <v>#N/A</v>
      </c>
      <c r="D66" s="633" t="e">
        <f>-CollectionStaffingCosts!N21</f>
        <v>#N/A</v>
      </c>
      <c r="E66" s="633" t="e">
        <f>-CollectionStaffingCosts!O21</f>
        <v>#N/A</v>
      </c>
      <c r="F66" s="633" t="e">
        <f>-CollectionStaffingCosts!P21</f>
        <v>#N/A</v>
      </c>
      <c r="G66" s="633" t="e">
        <f>-CollectionStaffingCosts!Q21</f>
        <v>#N/A</v>
      </c>
      <c r="H66" s="633" t="e">
        <f>-CollectionStaffingCosts!R21</f>
        <v>#N/A</v>
      </c>
      <c r="I66" s="638" t="e">
        <f>-CollectionStaffingCosts!S21</f>
        <v>#N/A</v>
      </c>
      <c r="J66" s="615">
        <v>62</v>
      </c>
      <c r="K66" s="618">
        <f>CollectionStaffingCosts!AD21</f>
        <v>0</v>
      </c>
      <c r="L66" s="618" t="e">
        <f>-CollectionStaffingCosts!AE21</f>
        <v>#N/A</v>
      </c>
      <c r="M66" s="618" t="e">
        <f>-CollectionStaffingCosts!AF21</f>
        <v>#N/A</v>
      </c>
      <c r="N66" s="618" t="e">
        <f>-CollectionStaffingCosts!AG21</f>
        <v>#N/A</v>
      </c>
      <c r="O66" s="618" t="e">
        <f>-CollectionStaffingCosts!AH21</f>
        <v>#N/A</v>
      </c>
      <c r="P66" s="612" t="s">
        <v>490</v>
      </c>
    </row>
    <row r="67" spans="2:16" x14ac:dyDescent="0.25">
      <c r="B67" s="669" t="s">
        <v>59</v>
      </c>
      <c r="C67" s="633" t="e">
        <f>-TruckCosts!M39</f>
        <v>#N/A</v>
      </c>
      <c r="D67" s="633" t="e">
        <f>-TruckCosts!N39</f>
        <v>#N/A</v>
      </c>
      <c r="E67" s="633" t="e">
        <f>-TruckCosts!O39</f>
        <v>#N/A</v>
      </c>
      <c r="F67" s="633" t="e">
        <f>-TruckCosts!P39</f>
        <v>#N/A</v>
      </c>
      <c r="G67" s="633" t="e">
        <f>-TruckCosts!Q39</f>
        <v>#N/A</v>
      </c>
      <c r="H67" s="633" t="e">
        <f>-TruckCosts!R39</f>
        <v>#N/A</v>
      </c>
      <c r="I67" s="638" t="e">
        <f>-TruckCosts!S39</f>
        <v>#N/A</v>
      </c>
      <c r="J67" s="615">
        <v>63</v>
      </c>
      <c r="L67" s="744" t="e">
        <f>-TruckCosts!AE39</f>
        <v>#N/A</v>
      </c>
      <c r="M67" s="744" t="e">
        <f>-TruckCosts!AF39</f>
        <v>#N/A</v>
      </c>
      <c r="N67" s="744" t="e">
        <f>-TruckCosts!AG39</f>
        <v>#N/A</v>
      </c>
      <c r="O67" s="744" t="e">
        <f>-TruckCosts!AH39</f>
        <v>#N/A</v>
      </c>
    </row>
    <row r="68" spans="2:16" x14ac:dyDescent="0.25">
      <c r="B68" s="669" t="s">
        <v>1061</v>
      </c>
      <c r="C68" s="633" t="e">
        <f>-TruckCosts!M44</f>
        <v>#N/A</v>
      </c>
      <c r="D68" s="633" t="e">
        <f>-TruckCosts!N44</f>
        <v>#N/A</v>
      </c>
      <c r="E68" s="633" t="e">
        <f>-TruckCosts!O44</f>
        <v>#N/A</v>
      </c>
      <c r="F68" s="633" t="e">
        <f>-TruckCosts!P44</f>
        <v>#N/A</v>
      </c>
      <c r="G68" s="633" t="e">
        <f>-TruckCosts!Q44</f>
        <v>#N/A</v>
      </c>
      <c r="H68" s="633" t="e">
        <f>-TruckCosts!R44</f>
        <v>#N/A</v>
      </c>
      <c r="I68" s="638" t="e">
        <f>-TruckCosts!S44</f>
        <v>#N/A</v>
      </c>
      <c r="J68" s="615">
        <v>64</v>
      </c>
      <c r="L68" s="744" t="e">
        <f>-TruckCosts!AE44</f>
        <v>#N/A</v>
      </c>
      <c r="M68" s="744" t="e">
        <f>-TruckCosts!AF44</f>
        <v>#N/A</v>
      </c>
      <c r="N68" s="744" t="e">
        <f>-TruckCosts!AG44</f>
        <v>#N/A</v>
      </c>
      <c r="O68" s="744" t="e">
        <f>-TruckCosts!AH44</f>
        <v>#N/A</v>
      </c>
    </row>
    <row r="69" spans="2:16" ht="12" thickBot="1" x14ac:dyDescent="0.3">
      <c r="B69" s="672" t="s">
        <v>1059</v>
      </c>
      <c r="C69" s="644" t="e">
        <f>C68+C66</f>
        <v>#N/A</v>
      </c>
      <c r="D69" s="644" t="e">
        <f t="shared" ref="D69:I69" si="12">D68+D66</f>
        <v>#N/A</v>
      </c>
      <c r="E69" s="644" t="e">
        <f t="shared" si="12"/>
        <v>#N/A</v>
      </c>
      <c r="F69" s="644" t="e">
        <f t="shared" si="12"/>
        <v>#N/A</v>
      </c>
      <c r="G69" s="644" t="e">
        <f t="shared" si="12"/>
        <v>#N/A</v>
      </c>
      <c r="H69" s="644" t="e">
        <f t="shared" si="12"/>
        <v>#N/A</v>
      </c>
      <c r="I69" s="645" t="e">
        <f t="shared" si="12"/>
        <v>#N/A</v>
      </c>
      <c r="J69" s="615">
        <v>65</v>
      </c>
      <c r="L69" s="744" t="e">
        <f>L68+L66</f>
        <v>#N/A</v>
      </c>
      <c r="M69" s="744" t="e">
        <f t="shared" ref="M69:O69" si="13">M68+M66</f>
        <v>#N/A</v>
      </c>
      <c r="N69" s="744" t="e">
        <f t="shared" si="13"/>
        <v>#N/A</v>
      </c>
      <c r="O69" s="744" t="e">
        <f t="shared" si="13"/>
        <v>#N/A</v>
      </c>
    </row>
  </sheetData>
  <customSheetViews>
    <customSheetView guid="{C6E026A6-065F-4BC7-8A1C-5537BAE31A06}" fitToPage="1" state="hidden" topLeftCell="A27">
      <selection activeCell="I45" sqref="I45"/>
      <pageMargins left="0" right="0" top="0" bottom="0" header="0" footer="0"/>
      <pageSetup scale="88" orientation="landscape" horizontalDpi="4294967293" verticalDpi="0" r:id="rId1"/>
    </customSheetView>
    <customSheetView guid="{C1E42E27-80DF-5D46-A74B-2BA4AA86045C}" fitToPage="1" state="hidden" topLeftCell="A27">
      <selection activeCell="I45" sqref="I45"/>
      <pageMargins left="0" right="0" top="0" bottom="0" header="0" footer="0"/>
      <pageSetup scale="88" orientation="landscape" horizontalDpi="4294967293" verticalDpi="0" r:id="rId2"/>
    </customSheetView>
    <customSheetView guid="{487CB698-FD0E-4580-BCE5-B1F3904B4ADD}">
      <selection activeCell="D19" sqref="D19"/>
      <pageMargins left="0" right="0" top="0" bottom="0" header="0" footer="0"/>
    </customSheetView>
  </customSheetViews>
  <mergeCells count="5">
    <mergeCell ref="H4:I4"/>
    <mergeCell ref="F4:G4"/>
    <mergeCell ref="D4:E4"/>
    <mergeCell ref="L4:M4"/>
    <mergeCell ref="N4:O4"/>
  </mergeCells>
  <pageMargins left="0.7" right="0.7" top="0.75" bottom="0.75" header="0.3" footer="0.3"/>
  <pageSetup scale="88" orientation="landscape" horizontalDpi="4294967293"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topLeftCell="A46" workbookViewId="0">
      <selection activeCell="C5" sqref="C5:F5"/>
    </sheetView>
  </sheetViews>
  <sheetFormatPr defaultColWidth="8.81640625" defaultRowHeight="13" x14ac:dyDescent="0.3"/>
  <cols>
    <col min="1" max="1" width="20.1796875" style="1" bestFit="1" customWidth="1"/>
    <col min="2" max="2" width="18.453125" style="1" customWidth="1"/>
    <col min="3" max="3" width="12.453125" style="1" customWidth="1"/>
    <col min="4" max="4" width="30.81640625" style="1" customWidth="1"/>
    <col min="5" max="5" width="11.1796875" style="1" customWidth="1"/>
    <col min="6" max="6" width="82.1796875" style="1" customWidth="1"/>
    <col min="7" max="7" width="10.1796875" style="1" hidden="1" customWidth="1"/>
    <col min="8" max="8" width="12.1796875" style="1" hidden="1" customWidth="1"/>
    <col min="9" max="9" width="29.1796875" style="1" customWidth="1"/>
    <col min="10" max="16384" width="8.81640625" style="1"/>
  </cols>
  <sheetData>
    <row r="1" spans="1:8" x14ac:dyDescent="0.3">
      <c r="A1" s="2" t="s">
        <v>75</v>
      </c>
      <c r="B1" s="98"/>
      <c r="C1" s="98"/>
      <c r="D1" s="98"/>
    </row>
    <row r="2" spans="1:8" x14ac:dyDescent="0.3">
      <c r="A2" s="99" t="s">
        <v>76</v>
      </c>
      <c r="B2" s="100" t="s">
        <v>77</v>
      </c>
      <c r="C2" s="100" t="s">
        <v>78</v>
      </c>
      <c r="D2" s="100" t="s">
        <v>79</v>
      </c>
      <c r="E2" s="99" t="s">
        <v>80</v>
      </c>
      <c r="F2" s="99" t="s">
        <v>79</v>
      </c>
      <c r="G2" s="1" t="s">
        <v>530</v>
      </c>
    </row>
    <row r="3" spans="1:8" x14ac:dyDescent="0.3">
      <c r="B3" s="103"/>
      <c r="C3" s="103"/>
      <c r="D3" s="103"/>
    </row>
    <row r="4" spans="1:8" x14ac:dyDescent="0.3">
      <c r="A4" s="3" t="s">
        <v>81</v>
      </c>
      <c r="B4" s="104" t="s">
        <v>82</v>
      </c>
      <c r="C4" s="105">
        <v>60</v>
      </c>
      <c r="D4" s="104" t="s">
        <v>83</v>
      </c>
      <c r="E4" s="3" t="s">
        <v>84</v>
      </c>
      <c r="F4" s="3" t="s">
        <v>85</v>
      </c>
      <c r="G4" s="302" t="s">
        <v>143</v>
      </c>
    </row>
    <row r="5" spans="1:8" x14ac:dyDescent="0.3">
      <c r="A5" s="3" t="s">
        <v>81</v>
      </c>
      <c r="B5" s="104" t="s">
        <v>87</v>
      </c>
      <c r="C5" s="105">
        <v>20</v>
      </c>
      <c r="D5" s="104" t="s">
        <v>88</v>
      </c>
      <c r="E5" s="3" t="s">
        <v>84</v>
      </c>
      <c r="F5" s="3" t="s">
        <v>85</v>
      </c>
      <c r="G5" s="302" t="s">
        <v>143</v>
      </c>
    </row>
    <row r="6" spans="1:8" ht="26" x14ac:dyDescent="0.3">
      <c r="A6" s="3" t="s">
        <v>81</v>
      </c>
      <c r="B6" s="104" t="s">
        <v>89</v>
      </c>
      <c r="C6" s="106">
        <v>0.05</v>
      </c>
      <c r="D6" s="104" t="s">
        <v>90</v>
      </c>
      <c r="E6" s="3" t="s">
        <v>84</v>
      </c>
      <c r="F6" s="3" t="s">
        <v>90</v>
      </c>
      <c r="G6" s="302" t="s">
        <v>143</v>
      </c>
    </row>
    <row r="7" spans="1:8" x14ac:dyDescent="0.3">
      <c r="A7" s="3" t="s">
        <v>81</v>
      </c>
      <c r="B7" s="104" t="s">
        <v>92</v>
      </c>
      <c r="C7" s="106">
        <v>0.03</v>
      </c>
      <c r="D7" s="104" t="s">
        <v>93</v>
      </c>
      <c r="E7" s="3" t="s">
        <v>84</v>
      </c>
      <c r="F7" s="3" t="s">
        <v>94</v>
      </c>
      <c r="G7" s="302" t="s">
        <v>143</v>
      </c>
    </row>
    <row r="8" spans="1:8" x14ac:dyDescent="0.3">
      <c r="A8" s="3" t="s">
        <v>81</v>
      </c>
      <c r="B8" s="104" t="s">
        <v>95</v>
      </c>
      <c r="C8" s="106">
        <v>4.4999999999999998E-2</v>
      </c>
      <c r="D8" s="104" t="s">
        <v>96</v>
      </c>
      <c r="E8" s="3" t="s">
        <v>84</v>
      </c>
      <c r="F8" s="3" t="s">
        <v>531</v>
      </c>
      <c r="G8" s="302" t="s">
        <v>143</v>
      </c>
    </row>
    <row r="9" spans="1:8" x14ac:dyDescent="0.3">
      <c r="A9" s="3" t="s">
        <v>81</v>
      </c>
      <c r="B9" s="104" t="s">
        <v>97</v>
      </c>
      <c r="C9" s="106">
        <v>0.04</v>
      </c>
      <c r="D9" s="104" t="s">
        <v>98</v>
      </c>
      <c r="E9" s="3" t="s">
        <v>84</v>
      </c>
      <c r="F9" s="3" t="s">
        <v>94</v>
      </c>
      <c r="G9" s="302" t="s">
        <v>143</v>
      </c>
    </row>
    <row r="10" spans="1:8" ht="39" x14ac:dyDescent="0.3">
      <c r="A10" s="3" t="s">
        <v>81</v>
      </c>
      <c r="B10" s="104" t="s">
        <v>99</v>
      </c>
      <c r="C10" s="107">
        <v>1.75</v>
      </c>
      <c r="D10" s="104" t="s">
        <v>100</v>
      </c>
      <c r="E10" s="3" t="s">
        <v>101</v>
      </c>
      <c r="F10" s="3" t="s">
        <v>102</v>
      </c>
      <c r="G10" s="302" t="s">
        <v>143</v>
      </c>
    </row>
    <row r="11" spans="1:8" ht="26" x14ac:dyDescent="0.3">
      <c r="A11" s="3" t="s">
        <v>81</v>
      </c>
      <c r="B11" s="104" t="s">
        <v>103</v>
      </c>
      <c r="C11" s="107">
        <v>0.5</v>
      </c>
      <c r="D11" s="104" t="s">
        <v>104</v>
      </c>
      <c r="E11" s="3" t="s">
        <v>84</v>
      </c>
      <c r="F11" s="3" t="s">
        <v>105</v>
      </c>
      <c r="G11" s="302" t="s">
        <v>143</v>
      </c>
    </row>
    <row r="12" spans="1:8" ht="26" x14ac:dyDescent="0.3">
      <c r="A12" s="3" t="s">
        <v>81</v>
      </c>
      <c r="B12" s="104" t="s">
        <v>106</v>
      </c>
      <c r="C12" s="107">
        <v>0.5</v>
      </c>
      <c r="D12" s="104" t="s">
        <v>107</v>
      </c>
      <c r="E12" s="3" t="s">
        <v>84</v>
      </c>
      <c r="F12" s="3" t="s">
        <v>101</v>
      </c>
      <c r="G12" s="302" t="s">
        <v>143</v>
      </c>
    </row>
    <row r="13" spans="1:8" ht="26" x14ac:dyDescent="0.3">
      <c r="A13" s="3" t="s">
        <v>81</v>
      </c>
      <c r="B13" s="104" t="s">
        <v>108</v>
      </c>
      <c r="C13" s="107">
        <v>0</v>
      </c>
      <c r="D13" s="104" t="s">
        <v>109</v>
      </c>
      <c r="E13" s="3" t="s">
        <v>84</v>
      </c>
      <c r="F13" s="3" t="s">
        <v>110</v>
      </c>
      <c r="G13" s="302" t="s">
        <v>143</v>
      </c>
    </row>
    <row r="14" spans="1:8" x14ac:dyDescent="0.3">
      <c r="A14" s="3" t="s">
        <v>81</v>
      </c>
      <c r="B14" s="104" t="s">
        <v>111</v>
      </c>
      <c r="C14" s="107">
        <v>0.66</v>
      </c>
      <c r="D14" s="104" t="s">
        <v>112</v>
      </c>
      <c r="E14" s="3" t="s">
        <v>84</v>
      </c>
      <c r="F14" s="3" t="s">
        <v>112</v>
      </c>
      <c r="G14" s="302" t="s">
        <v>143</v>
      </c>
    </row>
    <row r="15" spans="1:8" ht="26" x14ac:dyDescent="0.3">
      <c r="A15" s="3" t="s">
        <v>113</v>
      </c>
      <c r="B15" s="104" t="s">
        <v>114</v>
      </c>
      <c r="C15" s="104">
        <v>0.75</v>
      </c>
      <c r="D15" s="104" t="s">
        <v>115</v>
      </c>
      <c r="E15" s="3" t="s">
        <v>84</v>
      </c>
      <c r="F15" s="3" t="s">
        <v>116</v>
      </c>
      <c r="G15" s="302" t="s">
        <v>143</v>
      </c>
    </row>
    <row r="16" spans="1:8" x14ac:dyDescent="0.3">
      <c r="A16" s="3" t="s">
        <v>117</v>
      </c>
      <c r="B16" s="104" t="s">
        <v>118</v>
      </c>
      <c r="C16" s="104">
        <v>30</v>
      </c>
      <c r="D16" s="104" t="s">
        <v>50</v>
      </c>
      <c r="E16" s="3" t="s">
        <v>84</v>
      </c>
      <c r="F16" s="3" t="s">
        <v>119</v>
      </c>
      <c r="G16" s="1" t="s">
        <v>86</v>
      </c>
      <c r="H16" s="1" t="s">
        <v>532</v>
      </c>
    </row>
    <row r="17" spans="1:9" ht="26" x14ac:dyDescent="0.3">
      <c r="A17" s="3" t="s">
        <v>81</v>
      </c>
      <c r="B17" s="104" t="s">
        <v>120</v>
      </c>
      <c r="C17" s="104">
        <v>7</v>
      </c>
      <c r="D17" s="104" t="s">
        <v>121</v>
      </c>
      <c r="E17" s="3" t="s">
        <v>84</v>
      </c>
      <c r="F17" s="3" t="s">
        <v>121</v>
      </c>
      <c r="G17" s="302" t="s">
        <v>143</v>
      </c>
    </row>
    <row r="18" spans="1:9" x14ac:dyDescent="0.3">
      <c r="A18" s="3" t="s">
        <v>81</v>
      </c>
      <c r="B18" s="104" t="s">
        <v>122</v>
      </c>
      <c r="C18" s="108">
        <v>0.03</v>
      </c>
      <c r="D18" s="104" t="s">
        <v>123</v>
      </c>
      <c r="E18" s="3" t="s">
        <v>84</v>
      </c>
      <c r="F18" s="3"/>
      <c r="G18" s="302" t="s">
        <v>143</v>
      </c>
    </row>
    <row r="19" spans="1:9" ht="39" x14ac:dyDescent="0.3">
      <c r="A19" s="3" t="s">
        <v>124</v>
      </c>
      <c r="B19" s="104" t="s">
        <v>125</v>
      </c>
      <c r="C19" s="104">
        <v>0.39</v>
      </c>
      <c r="D19" s="104" t="s">
        <v>126</v>
      </c>
      <c r="E19" s="3" t="s">
        <v>84</v>
      </c>
      <c r="F19" s="3" t="s">
        <v>126</v>
      </c>
      <c r="G19" s="302" t="s">
        <v>143</v>
      </c>
    </row>
    <row r="20" spans="1:9" ht="26" x14ac:dyDescent="0.3">
      <c r="A20" s="3" t="s">
        <v>124</v>
      </c>
      <c r="B20" s="104" t="s">
        <v>127</v>
      </c>
      <c r="C20" s="104">
        <v>8</v>
      </c>
      <c r="D20" s="104" t="s">
        <v>128</v>
      </c>
      <c r="E20" s="3" t="s">
        <v>84</v>
      </c>
      <c r="F20" s="3" t="s">
        <v>128</v>
      </c>
      <c r="G20" s="302" t="s">
        <v>143</v>
      </c>
    </row>
    <row r="21" spans="1:9" ht="26" x14ac:dyDescent="0.3">
      <c r="A21" s="3" t="s">
        <v>124</v>
      </c>
      <c r="B21" s="104" t="s">
        <v>608</v>
      </c>
      <c r="C21" s="105">
        <v>175000</v>
      </c>
      <c r="D21" s="104" t="s">
        <v>129</v>
      </c>
      <c r="E21" s="3" t="s">
        <v>84</v>
      </c>
      <c r="F21" s="3" t="s">
        <v>536</v>
      </c>
      <c r="G21" s="302" t="s">
        <v>143</v>
      </c>
    </row>
    <row r="22" spans="1:9" ht="26" x14ac:dyDescent="0.3">
      <c r="A22" s="3" t="s">
        <v>124</v>
      </c>
      <c r="B22" s="104" t="s">
        <v>606</v>
      </c>
      <c r="C22" s="104">
        <v>5</v>
      </c>
      <c r="D22" s="104"/>
      <c r="E22" s="3" t="s">
        <v>84</v>
      </c>
      <c r="F22" s="3"/>
      <c r="G22" s="302" t="s">
        <v>143</v>
      </c>
    </row>
    <row r="23" spans="1:9" ht="26" x14ac:dyDescent="0.3">
      <c r="A23" s="3" t="s">
        <v>124</v>
      </c>
      <c r="B23" s="104" t="s">
        <v>130</v>
      </c>
      <c r="C23" s="105">
        <v>275000</v>
      </c>
      <c r="D23" s="104" t="s">
        <v>131</v>
      </c>
      <c r="E23" s="3" t="s">
        <v>84</v>
      </c>
      <c r="F23" s="3" t="s">
        <v>536</v>
      </c>
      <c r="G23" s="302" t="s">
        <v>143</v>
      </c>
    </row>
    <row r="24" spans="1:9" ht="26" x14ac:dyDescent="0.3">
      <c r="A24" s="3" t="s">
        <v>124</v>
      </c>
      <c r="B24" s="104" t="s">
        <v>133</v>
      </c>
      <c r="C24" s="105">
        <v>340000</v>
      </c>
      <c r="D24" s="104" t="s">
        <v>134</v>
      </c>
      <c r="E24" s="3" t="s">
        <v>101</v>
      </c>
      <c r="F24" s="3" t="s">
        <v>132</v>
      </c>
      <c r="G24" s="302" t="s">
        <v>143</v>
      </c>
    </row>
    <row r="25" spans="1:9" x14ac:dyDescent="0.3">
      <c r="A25" s="3" t="s">
        <v>124</v>
      </c>
      <c r="B25" s="104" t="s">
        <v>607</v>
      </c>
      <c r="C25" s="104">
        <v>5</v>
      </c>
      <c r="D25" s="104"/>
      <c r="E25" s="3" t="s">
        <v>84</v>
      </c>
      <c r="F25" s="3"/>
      <c r="G25" s="302"/>
    </row>
    <row r="26" spans="1:9" x14ac:dyDescent="0.3">
      <c r="A26" s="3" t="s">
        <v>124</v>
      </c>
      <c r="B26" s="104" t="s">
        <v>135</v>
      </c>
      <c r="C26" s="105">
        <v>7000</v>
      </c>
      <c r="D26" s="104" t="s">
        <v>136</v>
      </c>
      <c r="E26" s="3" t="s">
        <v>84</v>
      </c>
      <c r="F26" s="3" t="s">
        <v>537</v>
      </c>
      <c r="G26" s="302" t="s">
        <v>143</v>
      </c>
    </row>
    <row r="27" spans="1:9" x14ac:dyDescent="0.3">
      <c r="A27" s="3" t="s">
        <v>124</v>
      </c>
      <c r="B27" s="104" t="s">
        <v>137</v>
      </c>
      <c r="C27" s="105">
        <v>33000</v>
      </c>
      <c r="D27" s="104" t="s">
        <v>136</v>
      </c>
      <c r="E27" s="3" t="s">
        <v>84</v>
      </c>
      <c r="F27" s="3" t="s">
        <v>537</v>
      </c>
      <c r="G27" s="302" t="s">
        <v>143</v>
      </c>
    </row>
    <row r="28" spans="1:9" ht="26" x14ac:dyDescent="0.3">
      <c r="A28" s="3" t="s">
        <v>138</v>
      </c>
      <c r="B28" s="104" t="s">
        <v>139</v>
      </c>
      <c r="C28" s="105">
        <f>EquipOperatorWages</f>
        <v>48834.239999999991</v>
      </c>
      <c r="D28" s="104" t="s">
        <v>140</v>
      </c>
      <c r="E28" s="3" t="s">
        <v>141</v>
      </c>
      <c r="F28" s="3" t="s">
        <v>142</v>
      </c>
      <c r="G28" s="302" t="s">
        <v>143</v>
      </c>
      <c r="H28" s="124"/>
      <c r="I28" s="124"/>
    </row>
    <row r="29" spans="1:9" x14ac:dyDescent="0.3">
      <c r="A29" s="3" t="s">
        <v>138</v>
      </c>
      <c r="B29" s="104" t="s">
        <v>144</v>
      </c>
      <c r="C29" s="105">
        <f>'Transfer &amp; MRF Assumptions'!E10</f>
        <v>63057.279999999999</v>
      </c>
      <c r="D29" s="104" t="s">
        <v>140</v>
      </c>
      <c r="E29" s="3" t="s">
        <v>141</v>
      </c>
      <c r="F29" s="3" t="s">
        <v>145</v>
      </c>
      <c r="G29" s="302" t="s">
        <v>143</v>
      </c>
      <c r="H29" s="124"/>
      <c r="I29" s="124"/>
    </row>
    <row r="30" spans="1:9" x14ac:dyDescent="0.3">
      <c r="A30" s="3" t="s">
        <v>138</v>
      </c>
      <c r="B30" s="104" t="s">
        <v>146</v>
      </c>
      <c r="C30" s="105">
        <f>C28</f>
        <v>48834.239999999991</v>
      </c>
      <c r="D30" s="104" t="s">
        <v>140</v>
      </c>
      <c r="E30" s="3" t="s">
        <v>84</v>
      </c>
      <c r="F30" s="3" t="s">
        <v>147</v>
      </c>
      <c r="G30" s="302" t="s">
        <v>143</v>
      </c>
      <c r="H30" s="124"/>
      <c r="I30" s="124"/>
    </row>
    <row r="31" spans="1:9" x14ac:dyDescent="0.3">
      <c r="A31" s="3" t="s">
        <v>124</v>
      </c>
      <c r="B31" s="104" t="s">
        <v>148</v>
      </c>
      <c r="C31" s="105">
        <v>35000</v>
      </c>
      <c r="D31" s="104" t="s">
        <v>149</v>
      </c>
      <c r="E31" s="3" t="s">
        <v>84</v>
      </c>
      <c r="F31" s="3" t="s">
        <v>150</v>
      </c>
      <c r="G31" s="302" t="s">
        <v>143</v>
      </c>
      <c r="H31" s="125"/>
      <c r="I31" s="125"/>
    </row>
    <row r="32" spans="1:9" x14ac:dyDescent="0.3">
      <c r="A32" s="3" t="s">
        <v>124</v>
      </c>
      <c r="B32" s="104" t="s">
        <v>151</v>
      </c>
      <c r="C32" s="105">
        <v>60000</v>
      </c>
      <c r="D32" s="104" t="s">
        <v>149</v>
      </c>
      <c r="E32" s="3" t="s">
        <v>84</v>
      </c>
      <c r="F32" s="3" t="s">
        <v>150</v>
      </c>
      <c r="G32" s="302" t="s">
        <v>143</v>
      </c>
      <c r="H32" s="125"/>
      <c r="I32" s="125"/>
    </row>
    <row r="33" spans="1:8" ht="26" x14ac:dyDescent="0.3">
      <c r="A33" s="3" t="s">
        <v>124</v>
      </c>
      <c r="B33" s="104" t="s">
        <v>541</v>
      </c>
      <c r="C33" s="105">
        <v>11000</v>
      </c>
      <c r="D33" s="104" t="s">
        <v>152</v>
      </c>
      <c r="E33" s="3" t="s">
        <v>153</v>
      </c>
      <c r="F33" s="3" t="s">
        <v>540</v>
      </c>
      <c r="G33" s="302" t="s">
        <v>143</v>
      </c>
    </row>
    <row r="34" spans="1:8" ht="26" x14ac:dyDescent="0.3">
      <c r="A34" s="3" t="s">
        <v>124</v>
      </c>
      <c r="B34" s="104" t="s">
        <v>154</v>
      </c>
      <c r="C34" s="105">
        <v>15000</v>
      </c>
      <c r="D34" s="104" t="s">
        <v>152</v>
      </c>
      <c r="E34" s="3" t="s">
        <v>84</v>
      </c>
      <c r="F34" s="3" t="s">
        <v>155</v>
      </c>
      <c r="G34" s="302" t="s">
        <v>143</v>
      </c>
    </row>
    <row r="35" spans="1:8" x14ac:dyDescent="0.3">
      <c r="A35" s="3" t="s">
        <v>124</v>
      </c>
      <c r="B35" s="104" t="s">
        <v>156</v>
      </c>
      <c r="C35" s="106">
        <v>0.05</v>
      </c>
      <c r="D35" s="104" t="s">
        <v>157</v>
      </c>
      <c r="E35" s="3" t="s">
        <v>84</v>
      </c>
      <c r="F35" s="3" t="s">
        <v>157</v>
      </c>
      <c r="G35" s="302" t="s">
        <v>143</v>
      </c>
    </row>
    <row r="36" spans="1:8" x14ac:dyDescent="0.3">
      <c r="A36" s="3" t="s">
        <v>138</v>
      </c>
      <c r="B36" s="104" t="s">
        <v>156</v>
      </c>
      <c r="C36" s="106">
        <v>0.05</v>
      </c>
      <c r="D36" s="104" t="s">
        <v>157</v>
      </c>
      <c r="E36" s="3" t="s">
        <v>84</v>
      </c>
      <c r="F36" s="3" t="s">
        <v>157</v>
      </c>
      <c r="G36" s="302" t="s">
        <v>143</v>
      </c>
    </row>
    <row r="37" spans="1:8" ht="26" x14ac:dyDescent="0.3">
      <c r="A37" s="3" t="s">
        <v>113</v>
      </c>
      <c r="B37" s="104" t="s">
        <v>158</v>
      </c>
      <c r="C37" s="110">
        <v>0.05</v>
      </c>
      <c r="D37" s="104" t="s">
        <v>159</v>
      </c>
      <c r="E37" s="3" t="s">
        <v>84</v>
      </c>
      <c r="F37" s="3"/>
      <c r="G37" s="302" t="s">
        <v>143</v>
      </c>
    </row>
    <row r="38" spans="1:8" ht="39" x14ac:dyDescent="0.3">
      <c r="A38" s="3" t="s">
        <v>160</v>
      </c>
      <c r="B38" s="104" t="s">
        <v>161</v>
      </c>
      <c r="C38" s="109">
        <f>C39*2.5</f>
        <v>75</v>
      </c>
      <c r="D38" s="104" t="s">
        <v>162</v>
      </c>
      <c r="E38" s="3" t="s">
        <v>91</v>
      </c>
      <c r="F38" s="3" t="s">
        <v>162</v>
      </c>
      <c r="G38" s="1" t="s">
        <v>86</v>
      </c>
      <c r="H38" s="1" t="s">
        <v>532</v>
      </c>
    </row>
    <row r="39" spans="1:8" ht="39" x14ac:dyDescent="0.3">
      <c r="A39" s="3" t="s">
        <v>160</v>
      </c>
      <c r="B39" s="104" t="s">
        <v>163</v>
      </c>
      <c r="C39" s="104">
        <v>30</v>
      </c>
      <c r="D39" s="104" t="s">
        <v>164</v>
      </c>
      <c r="E39" s="3" t="s">
        <v>91</v>
      </c>
      <c r="F39" s="3" t="s">
        <v>164</v>
      </c>
      <c r="G39" s="1" t="s">
        <v>86</v>
      </c>
      <c r="H39" s="1" t="s">
        <v>532</v>
      </c>
    </row>
    <row r="40" spans="1:8" ht="26" x14ac:dyDescent="0.3">
      <c r="A40" s="3" t="s">
        <v>160</v>
      </c>
      <c r="B40" s="104" t="s">
        <v>165</v>
      </c>
      <c r="C40" s="104">
        <v>15</v>
      </c>
      <c r="D40" s="104" t="s">
        <v>164</v>
      </c>
      <c r="E40" s="3" t="s">
        <v>91</v>
      </c>
      <c r="F40" s="3" t="s">
        <v>164</v>
      </c>
      <c r="G40" s="1" t="s">
        <v>86</v>
      </c>
      <c r="H40" s="1" t="s">
        <v>532</v>
      </c>
    </row>
    <row r="41" spans="1:8" x14ac:dyDescent="0.3">
      <c r="A41" s="3" t="s">
        <v>160</v>
      </c>
      <c r="B41" s="104" t="s">
        <v>166</v>
      </c>
      <c r="C41" s="107">
        <v>3.5</v>
      </c>
      <c r="D41" s="104" t="s">
        <v>167</v>
      </c>
      <c r="E41" s="3" t="s">
        <v>168</v>
      </c>
      <c r="F41" s="3" t="s">
        <v>542</v>
      </c>
      <c r="G41" s="302" t="s">
        <v>143</v>
      </c>
    </row>
    <row r="42" spans="1:8" x14ac:dyDescent="0.3">
      <c r="A42" s="3" t="s">
        <v>160</v>
      </c>
      <c r="B42" s="104" t="s">
        <v>169</v>
      </c>
      <c r="C42" s="104">
        <v>3</v>
      </c>
      <c r="D42" s="104" t="s">
        <v>170</v>
      </c>
      <c r="E42" s="3" t="s">
        <v>91</v>
      </c>
      <c r="F42" s="3" t="s">
        <v>171</v>
      </c>
      <c r="G42" s="302" t="s">
        <v>143</v>
      </c>
    </row>
    <row r="43" spans="1:8" ht="26" x14ac:dyDescent="0.3">
      <c r="A43" s="3" t="s">
        <v>172</v>
      </c>
      <c r="B43" s="104" t="s">
        <v>539</v>
      </c>
      <c r="C43" s="371">
        <f>IF(Input!C8&lt;=20000,3000,4500)</f>
        <v>3000</v>
      </c>
      <c r="D43" s="104" t="s">
        <v>173</v>
      </c>
      <c r="E43" s="3" t="s">
        <v>84</v>
      </c>
      <c r="F43" s="3" t="s">
        <v>173</v>
      </c>
      <c r="G43" s="302" t="s">
        <v>143</v>
      </c>
    </row>
    <row r="44" spans="1:8" x14ac:dyDescent="0.3">
      <c r="A44" s="3" t="s">
        <v>174</v>
      </c>
      <c r="B44" s="104" t="s">
        <v>175</v>
      </c>
      <c r="C44" s="104">
        <v>30</v>
      </c>
      <c r="D44" s="104"/>
      <c r="E44" s="3" t="s">
        <v>84</v>
      </c>
      <c r="F44" s="3"/>
      <c r="G44" s="302" t="s">
        <v>143</v>
      </c>
    </row>
    <row r="45" spans="1:8" x14ac:dyDescent="0.3">
      <c r="A45" s="3" t="s">
        <v>174</v>
      </c>
      <c r="B45" s="104" t="s">
        <v>176</v>
      </c>
      <c r="C45" s="110">
        <v>0.65</v>
      </c>
      <c r="D45" s="104"/>
      <c r="E45" s="3" t="s">
        <v>84</v>
      </c>
      <c r="F45" s="3"/>
      <c r="G45" s="302" t="s">
        <v>143</v>
      </c>
    </row>
    <row r="46" spans="1:8" x14ac:dyDescent="0.3">
      <c r="A46" s="3" t="s">
        <v>174</v>
      </c>
      <c r="B46" s="104" t="s">
        <v>177</v>
      </c>
      <c r="C46" s="104">
        <v>100</v>
      </c>
      <c r="D46" s="103"/>
      <c r="E46" s="3" t="s">
        <v>84</v>
      </c>
      <c r="F46" s="3"/>
      <c r="G46" s="302" t="s">
        <v>143</v>
      </c>
    </row>
    <row r="47" spans="1:8" ht="26" x14ac:dyDescent="0.3">
      <c r="A47" s="3" t="s">
        <v>174</v>
      </c>
      <c r="B47" s="104" t="s">
        <v>178</v>
      </c>
      <c r="C47" s="105">
        <v>8000</v>
      </c>
      <c r="D47" s="104"/>
      <c r="E47" s="102" t="s">
        <v>84</v>
      </c>
      <c r="F47" s="102" t="s">
        <v>543</v>
      </c>
      <c r="G47" s="302" t="s">
        <v>143</v>
      </c>
    </row>
    <row r="48" spans="1:8" x14ac:dyDescent="0.3">
      <c r="A48" s="259" t="s">
        <v>113</v>
      </c>
      <c r="B48" s="259" t="s">
        <v>513</v>
      </c>
      <c r="C48" s="297">
        <v>0.121</v>
      </c>
      <c r="D48" s="259"/>
      <c r="E48" s="259" t="s">
        <v>515</v>
      </c>
      <c r="F48" s="259" t="s">
        <v>516</v>
      </c>
    </row>
    <row r="49" spans="1:6" x14ac:dyDescent="0.3">
      <c r="A49" s="259"/>
      <c r="B49" s="259" t="s">
        <v>947</v>
      </c>
      <c r="C49" s="367">
        <f>C48*C60</f>
        <v>194.32599999999999</v>
      </c>
      <c r="D49" s="259"/>
      <c r="E49" s="259"/>
      <c r="F49" s="259"/>
    </row>
    <row r="50" spans="1:6" x14ac:dyDescent="0.3">
      <c r="A50" s="259"/>
      <c r="B50" s="259" t="s">
        <v>944</v>
      </c>
      <c r="C50" s="299">
        <f>0.8</f>
        <v>0.8</v>
      </c>
      <c r="D50" s="259"/>
      <c r="E50" s="101" t="s">
        <v>85</v>
      </c>
      <c r="F50" s="259"/>
    </row>
    <row r="51" spans="1:6" x14ac:dyDescent="0.3">
      <c r="A51" s="259"/>
      <c r="B51" s="259" t="s">
        <v>942</v>
      </c>
      <c r="C51" s="562">
        <f>C49*C50</f>
        <v>155.46080000000001</v>
      </c>
      <c r="D51" s="259"/>
      <c r="E51" s="259"/>
      <c r="F51" s="259"/>
    </row>
    <row r="52" spans="1:6" x14ac:dyDescent="0.3">
      <c r="A52" s="259"/>
      <c r="B52" s="259" t="s">
        <v>948</v>
      </c>
      <c r="C52" s="562">
        <f>C51/26</f>
        <v>5.9792615384615386</v>
      </c>
      <c r="D52" s="259"/>
      <c r="E52" s="259"/>
      <c r="F52" s="259"/>
    </row>
    <row r="53" spans="1:6" x14ac:dyDescent="0.3">
      <c r="A53" s="259"/>
      <c r="B53" s="259" t="s">
        <v>952</v>
      </c>
      <c r="C53" s="562">
        <f>C52*2.5</f>
        <v>14.948153846153847</v>
      </c>
      <c r="D53" s="259"/>
      <c r="E53" s="259"/>
      <c r="F53" s="259"/>
    </row>
    <row r="54" spans="1:6" x14ac:dyDescent="0.3">
      <c r="A54" s="259" t="s">
        <v>113</v>
      </c>
      <c r="B54" s="259" t="s">
        <v>514</v>
      </c>
      <c r="C54" s="297">
        <v>0.216</v>
      </c>
      <c r="D54" s="259"/>
      <c r="E54" s="259" t="s">
        <v>515</v>
      </c>
      <c r="F54" s="259" t="s">
        <v>516</v>
      </c>
    </row>
    <row r="55" spans="1:6" x14ac:dyDescent="0.3">
      <c r="A55" s="259"/>
      <c r="B55" s="259" t="s">
        <v>946</v>
      </c>
      <c r="C55" s="367">
        <f>C54*C60</f>
        <v>346.89600000000002</v>
      </c>
      <c r="D55" s="259"/>
      <c r="E55" s="259"/>
      <c r="F55" s="259"/>
    </row>
    <row r="56" spans="1:6" x14ac:dyDescent="0.3">
      <c r="A56" s="259"/>
      <c r="B56" s="259" t="s">
        <v>945</v>
      </c>
      <c r="C56" s="299">
        <v>0.25</v>
      </c>
      <c r="D56" s="259"/>
      <c r="E56" s="101" t="s">
        <v>85</v>
      </c>
      <c r="F56" s="259"/>
    </row>
    <row r="57" spans="1:6" x14ac:dyDescent="0.3">
      <c r="A57" s="259"/>
      <c r="B57" s="259" t="s">
        <v>943</v>
      </c>
      <c r="C57" s="367">
        <f>C55*C56</f>
        <v>86.724000000000004</v>
      </c>
      <c r="D57" s="259"/>
      <c r="E57" s="259"/>
      <c r="F57" s="259"/>
    </row>
    <row r="58" spans="1:6" x14ac:dyDescent="0.3">
      <c r="A58" s="259"/>
      <c r="B58" s="259" t="s">
        <v>949</v>
      </c>
      <c r="C58" s="367">
        <f>C57/26</f>
        <v>3.3355384615384618</v>
      </c>
      <c r="D58" s="259"/>
      <c r="E58" s="259"/>
      <c r="F58" s="259"/>
    </row>
    <row r="59" spans="1:6" x14ac:dyDescent="0.3">
      <c r="A59" s="259"/>
      <c r="B59" s="259" t="s">
        <v>951</v>
      </c>
      <c r="C59" s="367">
        <f>C58*2.5</f>
        <v>8.3388461538461538</v>
      </c>
      <c r="D59" s="259"/>
      <c r="E59" s="259"/>
      <c r="F59" s="259" t="s">
        <v>950</v>
      </c>
    </row>
    <row r="60" spans="1:6" x14ac:dyDescent="0.3">
      <c r="A60" s="101" t="s">
        <v>113</v>
      </c>
      <c r="B60" s="101" t="s">
        <v>941</v>
      </c>
      <c r="C60" s="101">
        <v>1606</v>
      </c>
      <c r="D60" s="101" t="s">
        <v>517</v>
      </c>
      <c r="E60" s="101" t="s">
        <v>503</v>
      </c>
      <c r="F60" s="101"/>
    </row>
    <row r="61" spans="1:6" x14ac:dyDescent="0.3">
      <c r="A61" s="259" t="s">
        <v>113</v>
      </c>
      <c r="B61" s="259" t="s">
        <v>518</v>
      </c>
      <c r="C61" s="298">
        <f>250/202</f>
        <v>1.2376237623762376</v>
      </c>
      <c r="D61" s="259" t="s">
        <v>519</v>
      </c>
      <c r="E61" s="259" t="s">
        <v>515</v>
      </c>
      <c r="F61" s="259" t="s">
        <v>520</v>
      </c>
    </row>
    <row r="62" spans="1:6" x14ac:dyDescent="0.3">
      <c r="A62" s="259" t="s">
        <v>113</v>
      </c>
      <c r="B62" s="259" t="s">
        <v>521</v>
      </c>
      <c r="C62" s="298">
        <f>463/202</f>
        <v>2.2920792079207919</v>
      </c>
      <c r="D62" s="259" t="s">
        <v>519</v>
      </c>
      <c r="E62" s="259" t="s">
        <v>515</v>
      </c>
      <c r="F62" s="259" t="s">
        <v>520</v>
      </c>
    </row>
    <row r="63" spans="1:6" x14ac:dyDescent="0.3">
      <c r="A63" s="259" t="s">
        <v>113</v>
      </c>
      <c r="B63" s="259" t="s">
        <v>522</v>
      </c>
      <c r="C63" s="299">
        <f>0.2</f>
        <v>0.2</v>
      </c>
      <c r="D63" s="259"/>
      <c r="E63" s="101" t="s">
        <v>85</v>
      </c>
      <c r="F63" s="259"/>
    </row>
    <row r="64" spans="1:6" x14ac:dyDescent="0.3">
      <c r="A64" s="259" t="s">
        <v>113</v>
      </c>
      <c r="B64" s="259" t="s">
        <v>524</v>
      </c>
      <c r="C64" s="259">
        <v>96</v>
      </c>
      <c r="D64" s="259" t="s">
        <v>523</v>
      </c>
      <c r="E64" s="259"/>
      <c r="F64" s="259"/>
    </row>
    <row r="65" spans="1:6" x14ac:dyDescent="0.3">
      <c r="A65" s="259"/>
      <c r="B65" s="259" t="s">
        <v>940</v>
      </c>
      <c r="C65" s="258">
        <v>13</v>
      </c>
      <c r="D65" s="259" t="s">
        <v>955</v>
      </c>
      <c r="E65" s="259" t="s">
        <v>954</v>
      </c>
      <c r="F65" s="259" t="s">
        <v>956</v>
      </c>
    </row>
    <row r="66" spans="1:6" x14ac:dyDescent="0.3">
      <c r="A66" s="259"/>
      <c r="B66" s="259" t="s">
        <v>1071</v>
      </c>
      <c r="C66" s="367">
        <f>52*(8/12)</f>
        <v>34.666666666666664</v>
      </c>
      <c r="D66" s="259"/>
      <c r="E66" s="259"/>
      <c r="F66" s="259"/>
    </row>
    <row r="67" spans="1:6" x14ac:dyDescent="0.3">
      <c r="D67" s="1">
        <f>8/(8+15)</f>
        <v>0.34782608695652173</v>
      </c>
    </row>
    <row r="68" spans="1:6" x14ac:dyDescent="0.3">
      <c r="C68" s="1">
        <f>Rolloff_Capacity*Rollofff_Utilization_Factor*Rollofff_Density/2000</f>
        <v>0.97499999999999998</v>
      </c>
      <c r="D68" s="1">
        <f>541*250000/2000</f>
        <v>67625</v>
      </c>
    </row>
  </sheetData>
  <customSheetViews>
    <customSheetView guid="{C6E026A6-065F-4BC7-8A1C-5537BAE31A06}" hiddenColumns="1" state="hidden" topLeftCell="A31">
      <selection activeCell="C41" sqref="C41"/>
      <pageMargins left="0" right="0" top="0" bottom="0" header="0" footer="0"/>
    </customSheetView>
    <customSheetView guid="{C1E42E27-80DF-5D46-A74B-2BA4AA86045C}" hiddenColumns="1" state="hidden" topLeftCell="A31">
      <selection activeCell="C41" sqref="C41"/>
      <pageMargins left="0" right="0" top="0" bottom="0" header="0" footer="0"/>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72"/>
  <sheetViews>
    <sheetView workbookViewId="0">
      <selection activeCell="G23" sqref="G23"/>
    </sheetView>
  </sheetViews>
  <sheetFormatPr defaultColWidth="8.81640625" defaultRowHeight="13" x14ac:dyDescent="0.3"/>
  <cols>
    <col min="1" max="1" width="28" style="1" customWidth="1"/>
    <col min="2" max="2" width="17" style="1" customWidth="1"/>
    <col min="3" max="3" width="22.453125" style="1" bestFit="1" customWidth="1"/>
    <col min="4" max="4" width="13.1796875" style="1" customWidth="1"/>
    <col min="5" max="5" width="18.81640625" style="1" bestFit="1" customWidth="1"/>
    <col min="6" max="6" width="14.81640625" style="1" customWidth="1"/>
    <col min="7" max="7" width="21.453125" style="1" customWidth="1"/>
    <col min="8" max="8" width="19.453125" style="1" customWidth="1"/>
    <col min="9" max="9" width="18.26953125" style="1" bestFit="1" customWidth="1"/>
    <col min="10" max="10" width="14.81640625" style="1" customWidth="1"/>
    <col min="11" max="11" width="14.453125" style="1" customWidth="1"/>
    <col min="12" max="12" width="11.453125" style="1" bestFit="1" customWidth="1"/>
    <col min="13" max="13" width="14.453125" style="1" customWidth="1"/>
    <col min="14" max="14" width="14.1796875" style="1" bestFit="1" customWidth="1"/>
    <col min="15" max="15" width="35.1796875" style="1" bestFit="1" customWidth="1"/>
    <col min="16" max="21" width="8.81640625" style="1"/>
    <col min="22" max="22" width="30.26953125" style="1" bestFit="1" customWidth="1"/>
    <col min="23" max="16384" width="8.81640625" style="1"/>
  </cols>
  <sheetData>
    <row r="1" spans="1:22" x14ac:dyDescent="0.3">
      <c r="A1" s="2" t="s">
        <v>179</v>
      </c>
      <c r="C1" s="2" t="s">
        <v>180</v>
      </c>
      <c r="E1" s="2" t="s">
        <v>181</v>
      </c>
      <c r="G1" s="2" t="s">
        <v>182</v>
      </c>
      <c r="I1" s="2" t="s">
        <v>183</v>
      </c>
      <c r="J1" s="255" t="s">
        <v>487</v>
      </c>
      <c r="K1" s="2" t="s">
        <v>184</v>
      </c>
      <c r="M1" s="2" t="s">
        <v>185</v>
      </c>
      <c r="O1" s="2" t="s">
        <v>186</v>
      </c>
      <c r="Q1" s="2" t="s">
        <v>533</v>
      </c>
      <c r="S1" s="2"/>
      <c r="V1" s="254" t="s">
        <v>186</v>
      </c>
    </row>
    <row r="2" spans="1:22" x14ac:dyDescent="0.3">
      <c r="A2" s="152" t="s">
        <v>201</v>
      </c>
      <c r="C2" s="3" t="s">
        <v>187</v>
      </c>
      <c r="E2" s="3" t="s">
        <v>188</v>
      </c>
      <c r="G2" s="3" t="s">
        <v>189</v>
      </c>
      <c r="I2" s="3" t="s">
        <v>190</v>
      </c>
      <c r="J2" s="259" t="s">
        <v>143</v>
      </c>
      <c r="K2" s="3" t="s">
        <v>143</v>
      </c>
      <c r="M2" s="3" t="s">
        <v>143</v>
      </c>
      <c r="O2" s="3" t="s">
        <v>47</v>
      </c>
      <c r="Q2" s="1" t="s">
        <v>480</v>
      </c>
      <c r="V2" s="259" t="s">
        <v>526</v>
      </c>
    </row>
    <row r="3" spans="1:22" x14ac:dyDescent="0.3">
      <c r="A3" s="152" t="s">
        <v>206</v>
      </c>
      <c r="B3" s="153"/>
      <c r="C3" s="3" t="s">
        <v>191</v>
      </c>
      <c r="E3" s="3" t="s">
        <v>192</v>
      </c>
      <c r="G3" s="3" t="s">
        <v>193</v>
      </c>
      <c r="I3" s="3" t="s">
        <v>194</v>
      </c>
      <c r="J3" s="259" t="s">
        <v>86</v>
      </c>
      <c r="K3" s="3" t="s">
        <v>195</v>
      </c>
      <c r="M3" s="3" t="s">
        <v>195</v>
      </c>
      <c r="O3" s="3" t="s">
        <v>17</v>
      </c>
      <c r="Q3" s="1" t="s">
        <v>196</v>
      </c>
      <c r="V3" s="259" t="s">
        <v>527</v>
      </c>
    </row>
    <row r="4" spans="1:22" x14ac:dyDescent="0.3">
      <c r="A4" s="152" t="s">
        <v>211</v>
      </c>
      <c r="B4" s="153"/>
      <c r="C4" s="154" t="s">
        <v>197</v>
      </c>
      <c r="D4" s="153"/>
      <c r="E4" s="154" t="s">
        <v>198</v>
      </c>
      <c r="F4" s="153"/>
      <c r="G4" s="3" t="s">
        <v>199</v>
      </c>
      <c r="O4" s="3" t="s">
        <v>18</v>
      </c>
      <c r="Q4" s="1" t="s">
        <v>200</v>
      </c>
      <c r="V4" s="259" t="s">
        <v>528</v>
      </c>
    </row>
    <row r="5" spans="1:22" x14ac:dyDescent="0.3">
      <c r="A5" s="3" t="s">
        <v>213</v>
      </c>
      <c r="B5" s="153"/>
      <c r="C5" s="155" t="s">
        <v>202</v>
      </c>
      <c r="D5" s="153"/>
      <c r="E5" s="155" t="s">
        <v>203</v>
      </c>
      <c r="F5" s="153"/>
      <c r="G5" s="3" t="s">
        <v>204</v>
      </c>
      <c r="M5" s="28"/>
      <c r="O5" s="3" t="s">
        <v>19</v>
      </c>
      <c r="Q5" s="1" t="s">
        <v>205</v>
      </c>
      <c r="V5" s="259" t="s">
        <v>529</v>
      </c>
    </row>
    <row r="6" spans="1:22" x14ac:dyDescent="0.3">
      <c r="A6" s="3" t="s">
        <v>214</v>
      </c>
      <c r="B6" s="153"/>
      <c r="C6" s="155" t="s">
        <v>207</v>
      </c>
      <c r="D6" s="153"/>
      <c r="E6" s="155" t="s">
        <v>208</v>
      </c>
      <c r="F6" s="153"/>
      <c r="K6" s="28"/>
      <c r="O6" s="3" t="s">
        <v>20</v>
      </c>
      <c r="Q6" s="1" t="s">
        <v>209</v>
      </c>
    </row>
    <row r="7" spans="1:22" x14ac:dyDescent="0.3">
      <c r="A7" s="3" t="s">
        <v>215</v>
      </c>
      <c r="B7" s="153"/>
      <c r="C7" s="153"/>
      <c r="D7" s="153"/>
      <c r="E7" s="153"/>
      <c r="F7" s="153"/>
      <c r="O7" s="3" t="s">
        <v>21</v>
      </c>
      <c r="Q7" s="1" t="s">
        <v>210</v>
      </c>
    </row>
    <row r="8" spans="1:22" x14ac:dyDescent="0.3">
      <c r="O8" s="3" t="s">
        <v>22</v>
      </c>
      <c r="Q8" s="1" t="s">
        <v>212</v>
      </c>
    </row>
    <row r="10" spans="1:22" x14ac:dyDescent="0.3">
      <c r="A10" s="2" t="s">
        <v>216</v>
      </c>
    </row>
    <row r="11" spans="1:22" ht="13" customHeight="1" x14ac:dyDescent="0.3">
      <c r="A11" s="156" t="s">
        <v>217</v>
      </c>
      <c r="B11" s="156" t="s">
        <v>218</v>
      </c>
      <c r="C11" s="156" t="s">
        <v>219</v>
      </c>
      <c r="D11" s="156" t="s">
        <v>220</v>
      </c>
      <c r="E11" s="156" t="s">
        <v>221</v>
      </c>
      <c r="F11" s="156" t="s">
        <v>222</v>
      </c>
      <c r="G11" s="156" t="s">
        <v>223</v>
      </c>
      <c r="H11" s="157" t="s">
        <v>224</v>
      </c>
      <c r="I11" s="156" t="s">
        <v>225</v>
      </c>
      <c r="J11" s="264" t="s">
        <v>498</v>
      </c>
      <c r="K11" s="265" t="s">
        <v>492</v>
      </c>
      <c r="L11" s="265" t="s">
        <v>493</v>
      </c>
      <c r="M11" s="265" t="s">
        <v>494</v>
      </c>
      <c r="N11" s="265" t="s">
        <v>495</v>
      </c>
    </row>
    <row r="12" spans="1:22" x14ac:dyDescent="0.3">
      <c r="A12" s="158" t="str">
        <f>C2</f>
        <v xml:space="preserve">High participation </v>
      </c>
      <c r="B12" s="314">
        <v>0.63</v>
      </c>
      <c r="C12" s="314">
        <v>0.67</v>
      </c>
      <c r="D12" s="314">
        <v>0.68</v>
      </c>
      <c r="E12" s="314">
        <v>0.72</v>
      </c>
      <c r="F12" s="314">
        <v>0.8</v>
      </c>
      <c r="G12" s="314">
        <v>0.82</v>
      </c>
      <c r="H12" s="314">
        <v>0.7</v>
      </c>
      <c r="I12" s="85">
        <v>1</v>
      </c>
      <c r="J12" s="362">
        <f>H12*0.8</f>
        <v>0.55999999999999994</v>
      </c>
      <c r="K12" s="362">
        <f>0.95*0.8</f>
        <v>0.76</v>
      </c>
      <c r="L12" s="362">
        <f>0.95*0.8</f>
        <v>0.76</v>
      </c>
      <c r="M12" s="362">
        <f>K12*0.8</f>
        <v>0.6080000000000001</v>
      </c>
      <c r="N12" s="362">
        <f>L12*0.8</f>
        <v>0.6080000000000001</v>
      </c>
      <c r="O12" s="1" t="s">
        <v>490</v>
      </c>
    </row>
    <row r="13" spans="1:22" x14ac:dyDescent="0.3">
      <c r="A13" s="158" t="str">
        <f>C3</f>
        <v>Medium high participation</v>
      </c>
      <c r="B13" s="314">
        <v>0.57999999999999996</v>
      </c>
      <c r="C13" s="314">
        <v>0.62</v>
      </c>
      <c r="D13" s="314">
        <v>0.64</v>
      </c>
      <c r="E13" s="314">
        <v>0.65</v>
      </c>
      <c r="F13" s="314">
        <v>0.68</v>
      </c>
      <c r="G13" s="314">
        <v>0.7</v>
      </c>
      <c r="H13" s="314">
        <v>0.57999999999999996</v>
      </c>
      <c r="I13" s="85">
        <v>1</v>
      </c>
      <c r="J13" s="362">
        <f>H13*0.8</f>
        <v>0.46399999999999997</v>
      </c>
      <c r="K13" s="362">
        <f>AVERAGE(K12,K14)</f>
        <v>0.69874999999999998</v>
      </c>
      <c r="L13" s="362">
        <f>AVERAGE(L12,L14)</f>
        <v>0.69874999999999998</v>
      </c>
      <c r="M13" s="362">
        <f>AVERAGE(M12,M14)</f>
        <v>0.55900000000000005</v>
      </c>
      <c r="N13" s="362">
        <f>AVERAGE(N12,N14)</f>
        <v>0.55900000000000005</v>
      </c>
      <c r="O13" s="1" t="s">
        <v>490</v>
      </c>
    </row>
    <row r="14" spans="1:22" x14ac:dyDescent="0.3">
      <c r="A14" s="158" t="str">
        <f>C4</f>
        <v>Medium participation (Default)</v>
      </c>
      <c r="B14" s="314">
        <v>0.5</v>
      </c>
      <c r="C14" s="314">
        <v>0.57999999999999996</v>
      </c>
      <c r="D14" s="314">
        <v>0.55000000000000004</v>
      </c>
      <c r="E14" s="314">
        <f>E12-0.15</f>
        <v>0.56999999999999995</v>
      </c>
      <c r="F14" s="314">
        <v>0.64</v>
      </c>
      <c r="G14" s="314">
        <v>0.66</v>
      </c>
      <c r="H14" s="314">
        <v>0.5</v>
      </c>
      <c r="I14" s="85">
        <v>1</v>
      </c>
      <c r="J14" s="362">
        <f>H14*0.8</f>
        <v>0.4</v>
      </c>
      <c r="K14" s="362">
        <f>0.85*0.75</f>
        <v>0.63749999999999996</v>
      </c>
      <c r="L14" s="362">
        <f>0.85*0.75</f>
        <v>0.63749999999999996</v>
      </c>
      <c r="M14" s="362">
        <f>K14*0.8</f>
        <v>0.51</v>
      </c>
      <c r="N14" s="362">
        <f>L14*0.8</f>
        <v>0.51</v>
      </c>
      <c r="O14" s="1" t="s">
        <v>490</v>
      </c>
    </row>
    <row r="15" spans="1:22" x14ac:dyDescent="0.3">
      <c r="A15" s="158" t="str">
        <f>C5</f>
        <v>Medium low</v>
      </c>
      <c r="B15" s="314">
        <v>0.48</v>
      </c>
      <c r="C15" s="314">
        <v>0.52</v>
      </c>
      <c r="D15" s="314">
        <v>0.44</v>
      </c>
      <c r="E15" s="314">
        <f t="shared" ref="E15:G15" si="0">E13-0.18</f>
        <v>0.47000000000000003</v>
      </c>
      <c r="F15" s="314">
        <f>F13-0.18</f>
        <v>0.5</v>
      </c>
      <c r="G15" s="314">
        <f t="shared" si="0"/>
        <v>0.52</v>
      </c>
      <c r="H15" s="314">
        <f t="shared" ref="H15" si="1">H13-0.18</f>
        <v>0.39999999999999997</v>
      </c>
      <c r="I15" s="85">
        <v>1</v>
      </c>
      <c r="J15" s="362">
        <f>H15*0.8</f>
        <v>0.32</v>
      </c>
      <c r="K15" s="362">
        <f>AVERAGE(K14,K16)</f>
        <v>0.51124999999999998</v>
      </c>
      <c r="L15" s="362">
        <f>AVERAGE(L14,L16)</f>
        <v>0.51124999999999998</v>
      </c>
      <c r="M15" s="362">
        <f>AVERAGE(M14,M16)</f>
        <v>0.40900000000000003</v>
      </c>
      <c r="N15" s="362">
        <f>AVERAGE(N14,N16)</f>
        <v>0.40900000000000003</v>
      </c>
      <c r="O15" s="1" t="s">
        <v>490</v>
      </c>
    </row>
    <row r="16" spans="1:22" x14ac:dyDescent="0.3">
      <c r="A16" s="158" t="str">
        <f>C6</f>
        <v>Low</v>
      </c>
      <c r="B16" s="314">
        <v>0.36</v>
      </c>
      <c r="C16" s="314">
        <v>0.42</v>
      </c>
      <c r="D16" s="314">
        <v>0.38</v>
      </c>
      <c r="E16" s="314">
        <v>0.42</v>
      </c>
      <c r="F16" s="314">
        <v>0.4</v>
      </c>
      <c r="G16" s="314">
        <v>0.44</v>
      </c>
      <c r="H16" s="314">
        <f t="shared" ref="H16" si="2">H15-0.18</f>
        <v>0.21999999999999997</v>
      </c>
      <c r="I16" s="85">
        <v>1</v>
      </c>
      <c r="J16" s="362">
        <f>H16*0.8</f>
        <v>0.17599999999999999</v>
      </c>
      <c r="K16" s="362">
        <f>0.7*0.55</f>
        <v>0.38500000000000001</v>
      </c>
      <c r="L16" s="362">
        <f>0.7*0.55</f>
        <v>0.38500000000000001</v>
      </c>
      <c r="M16" s="362">
        <f>K16*0.8</f>
        <v>0.30800000000000005</v>
      </c>
      <c r="N16" s="362">
        <f>L16*0.8</f>
        <v>0.30800000000000005</v>
      </c>
      <c r="O16" s="1" t="s">
        <v>490</v>
      </c>
    </row>
    <row r="18" spans="1:15" x14ac:dyDescent="0.3">
      <c r="A18" s="2" t="s">
        <v>226</v>
      </c>
      <c r="F18" s="1" t="s">
        <v>227</v>
      </c>
    </row>
    <row r="19" spans="1:15" ht="26" x14ac:dyDescent="0.3">
      <c r="A19" s="156" t="s">
        <v>217</v>
      </c>
      <c r="B19" s="156" t="s">
        <v>228</v>
      </c>
      <c r="C19" s="159" t="s">
        <v>229</v>
      </c>
      <c r="D19" s="159" t="s">
        <v>230</v>
      </c>
      <c r="F19" s="156" t="s">
        <v>231</v>
      </c>
      <c r="G19" s="156" t="s">
        <v>232</v>
      </c>
      <c r="H19" s="160" t="s">
        <v>233</v>
      </c>
      <c r="I19" s="160" t="s">
        <v>234</v>
      </c>
      <c r="J19" s="160" t="s">
        <v>235</v>
      </c>
      <c r="K19" s="161" t="s">
        <v>236</v>
      </c>
    </row>
    <row r="20" spans="1:15" x14ac:dyDescent="0.3">
      <c r="A20" s="158" t="str">
        <f>E2</f>
        <v>Urban</v>
      </c>
      <c r="B20" s="315">
        <v>450</v>
      </c>
      <c r="C20" s="5" t="s">
        <v>50</v>
      </c>
      <c r="D20" s="315">
        <v>640</v>
      </c>
      <c r="F20" s="5">
        <v>40000</v>
      </c>
      <c r="G20" s="162">
        <v>8</v>
      </c>
      <c r="H20" s="5">
        <v>240</v>
      </c>
      <c r="I20" s="4">
        <f>H20/5</f>
        <v>48</v>
      </c>
      <c r="J20" s="5">
        <v>5</v>
      </c>
      <c r="K20" s="3">
        <v>5</v>
      </c>
      <c r="L20" s="1">
        <f>I20/G20</f>
        <v>6</v>
      </c>
      <c r="M20" s="1">
        <f>F20/G20</f>
        <v>5000</v>
      </c>
    </row>
    <row r="21" spans="1:15" x14ac:dyDescent="0.3">
      <c r="A21" s="158" t="str">
        <f>E3</f>
        <v>Urban / Suburban</v>
      </c>
      <c r="B21" s="315">
        <v>525</v>
      </c>
      <c r="C21" s="5" t="s">
        <v>50</v>
      </c>
      <c r="D21" s="315">
        <v>750</v>
      </c>
      <c r="F21" s="5">
        <v>20000</v>
      </c>
      <c r="G21" s="162">
        <v>4</v>
      </c>
      <c r="H21" s="5">
        <v>120</v>
      </c>
      <c r="I21" s="4">
        <f t="shared" ref="I21:I24" si="3">H21/5</f>
        <v>24</v>
      </c>
      <c r="J21" s="5">
        <v>4</v>
      </c>
      <c r="K21" s="3">
        <v>7</v>
      </c>
      <c r="L21" s="1">
        <f t="shared" ref="L21:L24" si="4">I21/G21</f>
        <v>6</v>
      </c>
      <c r="M21" s="1">
        <f t="shared" ref="M21:M24" si="5">F21/G21</f>
        <v>5000</v>
      </c>
      <c r="O21" s="163"/>
    </row>
    <row r="22" spans="1:15" x14ac:dyDescent="0.3">
      <c r="A22" s="158" t="str">
        <f>E4</f>
        <v>Suburban (Default)</v>
      </c>
      <c r="B22" s="315">
        <v>430</v>
      </c>
      <c r="C22" s="5" t="s">
        <v>50</v>
      </c>
      <c r="D22" s="315">
        <v>615</v>
      </c>
      <c r="F22" s="5">
        <v>10000</v>
      </c>
      <c r="G22" s="162">
        <v>2</v>
      </c>
      <c r="H22" s="5">
        <v>60</v>
      </c>
      <c r="I22" s="4">
        <f t="shared" si="3"/>
        <v>12</v>
      </c>
      <c r="J22" s="5">
        <v>4</v>
      </c>
      <c r="K22" s="3">
        <v>10</v>
      </c>
      <c r="L22" s="1">
        <f t="shared" si="4"/>
        <v>6</v>
      </c>
      <c r="M22" s="1">
        <f t="shared" si="5"/>
        <v>5000</v>
      </c>
    </row>
    <row r="23" spans="1:15" x14ac:dyDescent="0.3">
      <c r="A23" s="158" t="str">
        <f>E5</f>
        <v>Rural / Suburban</v>
      </c>
      <c r="B23" s="315">
        <v>315</v>
      </c>
      <c r="C23" s="5" t="s">
        <v>50</v>
      </c>
      <c r="D23" s="315">
        <v>450</v>
      </c>
      <c r="F23" s="5">
        <v>5000</v>
      </c>
      <c r="G23" s="162">
        <v>1</v>
      </c>
      <c r="H23" s="5">
        <v>30</v>
      </c>
      <c r="I23" s="4">
        <f t="shared" si="3"/>
        <v>6</v>
      </c>
      <c r="J23" s="5">
        <v>3</v>
      </c>
      <c r="K23" s="3">
        <v>12</v>
      </c>
      <c r="L23" s="1">
        <f t="shared" si="4"/>
        <v>6</v>
      </c>
      <c r="M23" s="1">
        <f t="shared" si="5"/>
        <v>5000</v>
      </c>
    </row>
    <row r="24" spans="1:15" x14ac:dyDescent="0.3">
      <c r="A24" s="158" t="str">
        <f>E6</f>
        <v xml:space="preserve">Rural  </v>
      </c>
      <c r="B24" s="315">
        <v>280</v>
      </c>
      <c r="C24" s="5" t="s">
        <v>50</v>
      </c>
      <c r="D24" s="315">
        <v>400</v>
      </c>
      <c r="F24" s="5">
        <v>2500</v>
      </c>
      <c r="G24" s="162">
        <v>1</v>
      </c>
      <c r="H24" s="5">
        <v>12</v>
      </c>
      <c r="I24" s="4">
        <f t="shared" si="3"/>
        <v>2.4</v>
      </c>
      <c r="J24" s="5">
        <v>3</v>
      </c>
      <c r="K24" s="3">
        <v>15</v>
      </c>
      <c r="L24" s="1">
        <f t="shared" si="4"/>
        <v>2.4</v>
      </c>
      <c r="M24" s="1">
        <f t="shared" si="5"/>
        <v>2500</v>
      </c>
    </row>
    <row r="26" spans="1:15" x14ac:dyDescent="0.3">
      <c r="A26" s="2" t="s">
        <v>237</v>
      </c>
      <c r="G26" s="682" t="s">
        <v>433</v>
      </c>
      <c r="H26" s="314">
        <v>0.5</v>
      </c>
    </row>
    <row r="27" spans="1:15" x14ac:dyDescent="0.3">
      <c r="A27" s="156" t="s">
        <v>217</v>
      </c>
      <c r="B27" s="156" t="s">
        <v>238</v>
      </c>
      <c r="C27" s="156" t="s">
        <v>239</v>
      </c>
      <c r="D27" s="156" t="s">
        <v>240</v>
      </c>
      <c r="E27" s="164" t="s">
        <v>241</v>
      </c>
      <c r="F27" s="164" t="s">
        <v>242</v>
      </c>
      <c r="G27" s="164" t="s">
        <v>1007</v>
      </c>
      <c r="H27" s="164" t="s">
        <v>619</v>
      </c>
      <c r="I27" s="250" t="s">
        <v>485</v>
      </c>
      <c r="J27" s="250" t="s">
        <v>486</v>
      </c>
    </row>
    <row r="28" spans="1:15" x14ac:dyDescent="0.3">
      <c r="A28" s="158" t="str">
        <f t="shared" ref="A28:A33" si="6">A2</f>
        <v>Illinois</v>
      </c>
      <c r="B28" s="165">
        <f>SUMPRODUCT($B$53:$C$53,B55:C55)</f>
        <v>51.71</v>
      </c>
      <c r="C28" s="12">
        <f>D28+10</f>
        <v>-48.255566345919021</v>
      </c>
      <c r="D28" s="12">
        <f>G28+(H28*$H$26)</f>
        <v>-58.255566345919021</v>
      </c>
      <c r="E28" s="3">
        <f>AssumptionTables!C60</f>
        <v>1606</v>
      </c>
      <c r="F28" s="101">
        <v>2.59</v>
      </c>
      <c r="G28" s="12">
        <f>-'Transfer &amp; MRF Assumptions'!$D$191</f>
        <v>-98.755566345919021</v>
      </c>
      <c r="H28" s="605">
        <v>81</v>
      </c>
      <c r="I28" s="257"/>
      <c r="J28" s="258">
        <f>AssumptionTables!C65</f>
        <v>13</v>
      </c>
    </row>
    <row r="29" spans="1:15" x14ac:dyDescent="0.3">
      <c r="A29" s="158" t="str">
        <f t="shared" si="6"/>
        <v>Indiana</v>
      </c>
      <c r="B29" s="165">
        <f t="shared" ref="B29:B33" si="7">SUMPRODUCT($B$53:$C$53,B56:C56)</f>
        <v>36.270000000000003</v>
      </c>
      <c r="C29" s="12">
        <f t="shared" ref="C29:C33" si="8">D29+10</f>
        <v>-48.255566345919021</v>
      </c>
      <c r="D29" s="12">
        <f t="shared" ref="D29:D33" si="9">G29+(H29*$H$26)</f>
        <v>-58.255566345919021</v>
      </c>
      <c r="E29" s="3">
        <f>AssumptionTables!C60</f>
        <v>1606</v>
      </c>
      <c r="F29" s="101">
        <v>2.5299999999999998</v>
      </c>
      <c r="G29" s="12">
        <f>-'Transfer &amp; MRF Assumptions'!$D$191</f>
        <v>-98.755566345919021</v>
      </c>
      <c r="H29" s="605">
        <v>81</v>
      </c>
      <c r="I29" s="257"/>
      <c r="J29" s="258">
        <f>AssumptionTables!C65</f>
        <v>13</v>
      </c>
    </row>
    <row r="30" spans="1:15" x14ac:dyDescent="0.3">
      <c r="A30" s="158" t="str">
        <f t="shared" si="6"/>
        <v>Michigan</v>
      </c>
      <c r="B30" s="165">
        <f>SUMPRODUCT($B$53:$C$53,B57:C57)</f>
        <v>42.77</v>
      </c>
      <c r="C30" s="12">
        <f t="shared" si="8"/>
        <v>-48.255566345919021</v>
      </c>
      <c r="D30" s="12">
        <f t="shared" si="9"/>
        <v>-58.255566345919021</v>
      </c>
      <c r="E30" s="3">
        <f>AssumptionTables!C60</f>
        <v>1606</v>
      </c>
      <c r="F30" s="101">
        <v>2.4900000000000002</v>
      </c>
      <c r="G30" s="12">
        <f>-'Transfer &amp; MRF Assumptions'!$D$191</f>
        <v>-98.755566345919021</v>
      </c>
      <c r="H30" s="605">
        <v>81</v>
      </c>
      <c r="I30" s="257"/>
      <c r="J30" s="258">
        <f>AssumptionTables!C65</f>
        <v>13</v>
      </c>
    </row>
    <row r="31" spans="1:15" x14ac:dyDescent="0.3">
      <c r="A31" s="158" t="str">
        <f t="shared" si="6"/>
        <v>Minnesota</v>
      </c>
      <c r="B31" s="165">
        <f t="shared" si="7"/>
        <v>57.78</v>
      </c>
      <c r="C31" s="12">
        <f t="shared" si="8"/>
        <v>-48.255566345919021</v>
      </c>
      <c r="D31" s="12">
        <f t="shared" si="9"/>
        <v>-58.255566345919021</v>
      </c>
      <c r="E31" s="3">
        <f>AssumptionTables!C60</f>
        <v>1606</v>
      </c>
      <c r="F31" s="101">
        <v>2.4900000000000002</v>
      </c>
      <c r="G31" s="12">
        <f>-'Transfer &amp; MRF Assumptions'!$D$191</f>
        <v>-98.755566345919021</v>
      </c>
      <c r="H31" s="605">
        <v>81</v>
      </c>
      <c r="I31" s="257"/>
      <c r="J31" s="258">
        <f>AssumptionTables!C65</f>
        <v>13</v>
      </c>
    </row>
    <row r="32" spans="1:15" x14ac:dyDescent="0.3">
      <c r="A32" s="158" t="str">
        <f t="shared" si="6"/>
        <v>Ohio</v>
      </c>
      <c r="B32" s="165">
        <f t="shared" si="7"/>
        <v>45.39</v>
      </c>
      <c r="C32" s="12">
        <f t="shared" si="8"/>
        <v>-48.255566345919021</v>
      </c>
      <c r="D32" s="12">
        <f t="shared" si="9"/>
        <v>-58.255566345919021</v>
      </c>
      <c r="E32" s="3">
        <f>AssumptionTables!C60</f>
        <v>1606</v>
      </c>
      <c r="F32" s="101">
        <v>2.4300000000000002</v>
      </c>
      <c r="G32" s="12">
        <f>-'Transfer &amp; MRF Assumptions'!$D$191</f>
        <v>-98.755566345919021</v>
      </c>
      <c r="H32" s="605">
        <v>81</v>
      </c>
      <c r="I32" s="257"/>
      <c r="J32" s="258">
        <f>AssumptionTables!C65</f>
        <v>13</v>
      </c>
    </row>
    <row r="33" spans="1:22" x14ac:dyDescent="0.3">
      <c r="A33" s="158" t="str">
        <f t="shared" si="6"/>
        <v>Wisconsin</v>
      </c>
      <c r="B33" s="165">
        <f t="shared" si="7"/>
        <v>61</v>
      </c>
      <c r="C33" s="12">
        <f t="shared" si="8"/>
        <v>-48.255566345919021</v>
      </c>
      <c r="D33" s="12">
        <f t="shared" si="9"/>
        <v>-58.255566345919021</v>
      </c>
      <c r="E33" s="3">
        <f>AssumptionTables!C60</f>
        <v>1606</v>
      </c>
      <c r="F33" s="101">
        <v>2.4</v>
      </c>
      <c r="G33" s="12">
        <f>-'Transfer &amp; MRF Assumptions'!$D$191</f>
        <v>-98.755566345919021</v>
      </c>
      <c r="H33" s="605">
        <v>81</v>
      </c>
      <c r="I33" s="257"/>
      <c r="J33" s="258">
        <f>AssumptionTables!C65</f>
        <v>13</v>
      </c>
    </row>
    <row r="34" spans="1:22" x14ac:dyDescent="0.3">
      <c r="B34" s="166"/>
    </row>
    <row r="35" spans="1:22" x14ac:dyDescent="0.3">
      <c r="A35" s="2" t="s">
        <v>1067</v>
      </c>
      <c r="B35" s="167" t="s">
        <v>243</v>
      </c>
      <c r="C35" s="247">
        <v>0.75</v>
      </c>
      <c r="D35" s="167"/>
      <c r="E35" s="167" t="s">
        <v>1068</v>
      </c>
      <c r="F35" s="101">
        <v>1.75</v>
      </c>
      <c r="G35" s="167"/>
      <c r="H35" s="101">
        <v>0.5</v>
      </c>
    </row>
    <row r="36" spans="1:22" ht="26" x14ac:dyDescent="0.3">
      <c r="A36" s="156" t="s">
        <v>217</v>
      </c>
      <c r="B36" s="168" t="s">
        <v>244</v>
      </c>
      <c r="C36" s="168" t="s">
        <v>245</v>
      </c>
      <c r="D36" s="168" t="s">
        <v>246</v>
      </c>
      <c r="E36" s="168" t="s">
        <v>247</v>
      </c>
      <c r="F36" s="168" t="s">
        <v>222</v>
      </c>
      <c r="G36" s="168" t="s">
        <v>223</v>
      </c>
      <c r="H36" s="251" t="s">
        <v>224</v>
      </c>
      <c r="I36" s="264" t="s">
        <v>498</v>
      </c>
      <c r="J36" s="265" t="s">
        <v>492</v>
      </c>
      <c r="K36" s="265" t="s">
        <v>493</v>
      </c>
      <c r="L36" s="265" t="s">
        <v>494</v>
      </c>
      <c r="M36" s="265" t="s">
        <v>495</v>
      </c>
      <c r="N36" s="169"/>
      <c r="O36" s="169"/>
      <c r="P36" s="169"/>
      <c r="Q36" s="169"/>
      <c r="R36" s="169"/>
      <c r="S36" s="169"/>
      <c r="T36" s="169"/>
    </row>
    <row r="37" spans="1:22" x14ac:dyDescent="0.3">
      <c r="A37" s="158" t="str">
        <f>G2</f>
        <v>High (Containers are always full, only choose if you have PAYT, embedded recycling fees, or other similar advanced programs)</v>
      </c>
      <c r="B37" s="316">
        <f>12.635*F35</f>
        <v>22.111249999999998</v>
      </c>
      <c r="C37" s="316">
        <f>9.477*F35</f>
        <v>16.58475</v>
      </c>
      <c r="D37" s="316">
        <f>19.11*F35</f>
        <v>33.442499999999995</v>
      </c>
      <c r="E37" s="316">
        <f>13.2*F35</f>
        <v>23.099999999999998</v>
      </c>
      <c r="F37" s="316">
        <f>26.1*F35</f>
        <v>45.675000000000004</v>
      </c>
      <c r="G37" s="316">
        <f>15*F35</f>
        <v>26.25</v>
      </c>
      <c r="H37" s="317">
        <f>7.29*F35</f>
        <v>12.7575</v>
      </c>
      <c r="I37" s="301"/>
      <c r="J37" s="298">
        <f>AssumptionTables!C53</f>
        <v>14.948153846153847</v>
      </c>
      <c r="K37" s="298">
        <f>AssumptionTables!C53</f>
        <v>14.948153846153847</v>
      </c>
      <c r="L37" s="300">
        <f>J37+AssumptionTables!C59</f>
        <v>23.286999999999999</v>
      </c>
      <c r="M37" s="356">
        <f>K37+AssumptionTables!C59</f>
        <v>23.286999999999999</v>
      </c>
      <c r="N37" s="357"/>
      <c r="O37" s="172"/>
      <c r="P37" s="172"/>
      <c r="Q37" s="172"/>
      <c r="R37" s="172"/>
      <c r="S37" s="172"/>
      <c r="T37" s="172"/>
      <c r="U37" s="172"/>
      <c r="V37" s="172"/>
    </row>
    <row r="38" spans="1:22" x14ac:dyDescent="0.3">
      <c r="A38" s="158" t="str">
        <f>G3</f>
        <v>Medium high (Containers more than half full, Communities with strong recycling programs)</v>
      </c>
      <c r="B38" s="170">
        <f t="shared" ref="B38:G38" si="10">B37*$C$35</f>
        <v>16.583437499999999</v>
      </c>
      <c r="C38" s="170">
        <f t="shared" si="10"/>
        <v>12.4385625</v>
      </c>
      <c r="D38" s="170">
        <f t="shared" si="10"/>
        <v>25.081874999999997</v>
      </c>
      <c r="E38" s="170">
        <f t="shared" si="10"/>
        <v>17.324999999999999</v>
      </c>
      <c r="F38" s="170">
        <f>F37*$C$35</f>
        <v>34.256250000000001</v>
      </c>
      <c r="G38" s="170">
        <f t="shared" si="10"/>
        <v>19.6875</v>
      </c>
      <c r="H38" s="252">
        <f>H37*$H$35</f>
        <v>6.3787500000000001</v>
      </c>
      <c r="I38" s="301"/>
      <c r="J38" s="298">
        <f>J37*0.75</f>
        <v>11.211115384615386</v>
      </c>
      <c r="K38" s="298">
        <f>K37*0.75</f>
        <v>11.211115384615386</v>
      </c>
      <c r="L38" s="298">
        <f>L37*0.75</f>
        <v>17.465249999999997</v>
      </c>
      <c r="M38" s="298">
        <f>M37*0.75</f>
        <v>17.465249999999997</v>
      </c>
      <c r="N38" s="357"/>
      <c r="O38" s="172"/>
      <c r="P38" s="172"/>
      <c r="Q38" s="172"/>
      <c r="R38" s="172"/>
      <c r="S38" s="172"/>
      <c r="T38" s="172"/>
    </row>
    <row r="39" spans="1:22" x14ac:dyDescent="0.3">
      <c r="A39" s="158" t="str">
        <f>G4</f>
        <v>Medium low (Containers about half full, Default setting)</v>
      </c>
      <c r="B39" s="170">
        <f>B38*$C$35</f>
        <v>12.437578124999998</v>
      </c>
      <c r="C39" s="170">
        <f>C38*$C$35</f>
        <v>9.3289218749999989</v>
      </c>
      <c r="D39" s="170">
        <f>D38*$C$35</f>
        <v>18.811406249999997</v>
      </c>
      <c r="E39" s="170">
        <f>E38*$C$35</f>
        <v>12.993749999999999</v>
      </c>
      <c r="F39" s="170">
        <f>F38*$C$35</f>
        <v>25.692187500000003</v>
      </c>
      <c r="G39" s="170">
        <f t="shared" ref="G39:G40" si="11">G38*$C$35</f>
        <v>14.765625</v>
      </c>
      <c r="H39" s="252">
        <f>H38*$H$35</f>
        <v>3.1893750000000001</v>
      </c>
      <c r="I39" s="354"/>
      <c r="J39" s="355">
        <f>J37*0.5</f>
        <v>7.4740769230769235</v>
      </c>
      <c r="K39" s="355">
        <f>K37*0.5</f>
        <v>7.4740769230769235</v>
      </c>
      <c r="L39" s="355">
        <f>L37*0.5</f>
        <v>11.6435</v>
      </c>
      <c r="M39" s="355">
        <f>M37*0.5</f>
        <v>11.6435</v>
      </c>
      <c r="N39" s="357"/>
      <c r="O39" s="172"/>
      <c r="P39" s="172"/>
      <c r="Q39" s="172"/>
      <c r="R39" s="172"/>
      <c r="S39" s="172"/>
      <c r="T39" s="172"/>
    </row>
    <row r="40" spans="1:22" x14ac:dyDescent="0.3">
      <c r="A40" s="158" t="str">
        <f>G5</f>
        <v>Low (Containers are less than half full, Choose if residents are unfamiliar with recycling programs)</v>
      </c>
      <c r="B40" s="170">
        <f>B39*$C$35</f>
        <v>9.3281835937499977</v>
      </c>
      <c r="C40" s="170">
        <f t="shared" ref="C40" si="12">C39*$C$35</f>
        <v>6.9966914062499992</v>
      </c>
      <c r="D40" s="170">
        <f>D39*$C$35</f>
        <v>14.108554687499998</v>
      </c>
      <c r="E40" s="170">
        <f>E39*$C$35</f>
        <v>9.7453124999999989</v>
      </c>
      <c r="F40" s="170">
        <f>F39*$C$35</f>
        <v>19.269140625000002</v>
      </c>
      <c r="G40" s="170">
        <f t="shared" si="11"/>
        <v>11.07421875</v>
      </c>
      <c r="H40" s="252">
        <f>H39*$H$35</f>
        <v>1.5946875</v>
      </c>
      <c r="I40" s="301"/>
      <c r="J40" s="298">
        <f>J37*0.3</f>
        <v>4.4844461538461537</v>
      </c>
      <c r="K40" s="298">
        <f>K37*0.3</f>
        <v>4.4844461538461537</v>
      </c>
      <c r="L40" s="298">
        <f>L37*0.3</f>
        <v>6.9860999999999995</v>
      </c>
      <c r="M40" s="298">
        <f>M37*0.3</f>
        <v>6.9860999999999995</v>
      </c>
      <c r="N40" s="172"/>
      <c r="O40" s="172"/>
      <c r="P40" s="172"/>
      <c r="Q40" s="172"/>
      <c r="R40" s="172"/>
      <c r="S40" s="172"/>
      <c r="T40" s="172"/>
    </row>
    <row r="41" spans="1:22" x14ac:dyDescent="0.3">
      <c r="A41" s="2" t="s">
        <v>1066</v>
      </c>
      <c r="B41" s="173"/>
      <c r="C41" s="173"/>
      <c r="D41" s="173"/>
      <c r="E41" s="173"/>
      <c r="F41" s="173"/>
      <c r="G41" s="173"/>
      <c r="I41" s="276"/>
      <c r="J41" s="276"/>
      <c r="K41" s="276"/>
      <c r="L41" s="276"/>
      <c r="M41" s="276"/>
      <c r="N41" s="171"/>
      <c r="O41" s="172"/>
      <c r="P41" s="172"/>
      <c r="Q41" s="172"/>
      <c r="R41" s="172"/>
      <c r="S41" s="172"/>
      <c r="T41" s="172"/>
      <c r="U41" s="172"/>
      <c r="V41" s="172"/>
    </row>
    <row r="42" spans="1:22" x14ac:dyDescent="0.3">
      <c r="A42" s="158" t="str">
        <f>A37</f>
        <v>High (Containers are always full, only choose if you have PAYT, embedded recycling fees, or other similar advanced programs)</v>
      </c>
      <c r="B42" s="162">
        <f>B37*26</f>
        <v>574.89249999999993</v>
      </c>
      <c r="C42" s="162">
        <f>C37*52</f>
        <v>862.40699999999993</v>
      </c>
      <c r="D42" s="162">
        <f>D37*26</f>
        <v>869.50499999999988</v>
      </c>
      <c r="E42" s="162">
        <f>E37*52</f>
        <v>1201.1999999999998</v>
      </c>
      <c r="F42" s="162">
        <f>F37*26</f>
        <v>1187.5500000000002</v>
      </c>
      <c r="G42" s="162">
        <f>G37*52</f>
        <v>1365</v>
      </c>
      <c r="H42" s="253">
        <f>H37*52</f>
        <v>663.39</v>
      </c>
      <c r="I42" s="298">
        <f>I37*AssumptionTables!$C$66</f>
        <v>0</v>
      </c>
      <c r="J42" s="298">
        <f>J37*AssumptionTables!$C$66</f>
        <v>518.20266666666669</v>
      </c>
      <c r="K42" s="298">
        <f>K37*AssumptionTables!$C$66</f>
        <v>518.20266666666669</v>
      </c>
      <c r="L42" s="298">
        <f>L37*AssumptionTables!$C$66</f>
        <v>807.28266666666661</v>
      </c>
      <c r="M42" s="298">
        <f>M37*AssumptionTables!$C$66</f>
        <v>807.28266666666661</v>
      </c>
      <c r="N42" s="171" t="s">
        <v>490</v>
      </c>
      <c r="O42" s="172"/>
      <c r="P42" s="172"/>
      <c r="Q42" s="172"/>
      <c r="R42" s="172"/>
      <c r="S42" s="172"/>
      <c r="T42" s="172"/>
      <c r="U42" s="172"/>
      <c r="V42" s="172"/>
    </row>
    <row r="43" spans="1:22" x14ac:dyDescent="0.3">
      <c r="A43" s="158" t="str">
        <f t="shared" ref="A43:A45" si="13">A38</f>
        <v>Medium high (Containers more than half full, Communities with strong recycling programs)</v>
      </c>
      <c r="B43" s="162">
        <f>B38*26</f>
        <v>431.16937499999995</v>
      </c>
      <c r="C43" s="162">
        <f>C38*52</f>
        <v>646.80525</v>
      </c>
      <c r="D43" s="162">
        <f t="shared" ref="D43:F45" si="14">D38*26</f>
        <v>652.12874999999985</v>
      </c>
      <c r="E43" s="162">
        <f>E38*52</f>
        <v>900.9</v>
      </c>
      <c r="F43" s="162">
        <f t="shared" si="14"/>
        <v>890.66250000000002</v>
      </c>
      <c r="G43" s="162">
        <f>G38*52</f>
        <v>1023.75</v>
      </c>
      <c r="H43" s="253">
        <f t="shared" ref="H43:H45" si="15">H38*52</f>
        <v>331.69499999999999</v>
      </c>
      <c r="I43" s="298">
        <f>I38*AssumptionTables!$C$66</f>
        <v>0</v>
      </c>
      <c r="J43" s="298">
        <f>J38*AssumptionTables!$C$66</f>
        <v>388.65200000000004</v>
      </c>
      <c r="K43" s="298">
        <f>K38*AssumptionTables!$C$66</f>
        <v>388.65200000000004</v>
      </c>
      <c r="L43" s="298">
        <f>L38*AssumptionTables!$C$66</f>
        <v>605.46199999999988</v>
      </c>
      <c r="M43" s="298">
        <f>M38*AssumptionTables!$C$66</f>
        <v>605.46199999999988</v>
      </c>
      <c r="N43" s="358" t="s">
        <v>490</v>
      </c>
      <c r="O43" s="174"/>
      <c r="P43" s="174"/>
      <c r="Q43" s="174"/>
      <c r="R43" s="174"/>
      <c r="S43" s="174"/>
      <c r="T43" s="174"/>
      <c r="U43" s="174"/>
      <c r="V43" s="174"/>
    </row>
    <row r="44" spans="1:22" x14ac:dyDescent="0.3">
      <c r="A44" s="158" t="str">
        <f t="shared" si="13"/>
        <v>Medium low (Containers about half full, Default setting)</v>
      </c>
      <c r="B44" s="162">
        <f t="shared" ref="B44:B45" si="16">B39*26</f>
        <v>323.37703124999996</v>
      </c>
      <c r="C44" s="162">
        <f>C39*52</f>
        <v>485.10393749999992</v>
      </c>
      <c r="D44" s="162">
        <f t="shared" si="14"/>
        <v>489.09656249999995</v>
      </c>
      <c r="E44" s="162">
        <f>E39*52</f>
        <v>675.67499999999995</v>
      </c>
      <c r="F44" s="162">
        <f t="shared" si="14"/>
        <v>667.99687500000005</v>
      </c>
      <c r="G44" s="162">
        <f>G39*52</f>
        <v>767.8125</v>
      </c>
      <c r="H44" s="253">
        <f t="shared" si="15"/>
        <v>165.8475</v>
      </c>
      <c r="I44" s="298">
        <f>I39*AssumptionTables!$C$66</f>
        <v>0</v>
      </c>
      <c r="J44" s="298">
        <f>J39*AssumptionTables!$C$66</f>
        <v>259.10133333333334</v>
      </c>
      <c r="K44" s="298">
        <f>K39*AssumptionTables!$C$66</f>
        <v>259.10133333333334</v>
      </c>
      <c r="L44" s="298">
        <f>L39*AssumptionTables!$C$66</f>
        <v>403.64133333333331</v>
      </c>
      <c r="M44" s="298">
        <f>M39*AssumptionTables!$C$66</f>
        <v>403.64133333333331</v>
      </c>
      <c r="N44" s="359" t="s">
        <v>490</v>
      </c>
      <c r="O44" s="175"/>
      <c r="P44" s="175"/>
      <c r="Q44" s="175"/>
      <c r="R44" s="175"/>
      <c r="S44" s="175"/>
      <c r="T44" s="175"/>
      <c r="U44" s="175"/>
      <c r="V44" s="175"/>
    </row>
    <row r="45" spans="1:22" x14ac:dyDescent="0.3">
      <c r="A45" s="158" t="str">
        <f t="shared" si="13"/>
        <v>Low (Containers are less than half full, Choose if residents are unfamiliar with recycling programs)</v>
      </c>
      <c r="B45" s="162">
        <f t="shared" si="16"/>
        <v>242.53277343749994</v>
      </c>
      <c r="C45" s="162">
        <f>C40*52</f>
        <v>363.82795312499996</v>
      </c>
      <c r="D45" s="162">
        <f t="shared" si="14"/>
        <v>366.82242187499997</v>
      </c>
      <c r="E45" s="162">
        <f>E40*52</f>
        <v>506.75624999999997</v>
      </c>
      <c r="F45" s="162">
        <f t="shared" si="14"/>
        <v>500.99765625000003</v>
      </c>
      <c r="G45" s="162">
        <f>G40*52</f>
        <v>575.859375</v>
      </c>
      <c r="H45" s="253">
        <f t="shared" si="15"/>
        <v>82.923749999999998</v>
      </c>
      <c r="I45" s="298">
        <f>I40*AssumptionTables!$C$66</f>
        <v>0</v>
      </c>
      <c r="J45" s="298">
        <f>J40*AssumptionTables!$C$66</f>
        <v>155.46079999999998</v>
      </c>
      <c r="K45" s="298">
        <f>K40*AssumptionTables!$C$66</f>
        <v>155.46079999999998</v>
      </c>
      <c r="L45" s="298">
        <f>L40*AssumptionTables!$C$66</f>
        <v>242.18479999999997</v>
      </c>
      <c r="M45" s="298">
        <f>M40*AssumptionTables!$C$66</f>
        <v>242.18479999999997</v>
      </c>
      <c r="N45" s="359" t="s">
        <v>490</v>
      </c>
      <c r="O45" s="175"/>
      <c r="P45" s="175"/>
      <c r="Q45" s="175"/>
      <c r="R45" s="175"/>
      <c r="S45" s="175"/>
      <c r="T45" s="175"/>
      <c r="U45" s="175"/>
      <c r="V45" s="175"/>
    </row>
    <row r="46" spans="1:22" x14ac:dyDescent="0.3">
      <c r="A46" s="163"/>
      <c r="B46" s="163"/>
      <c r="C46" s="163"/>
      <c r="D46" s="176"/>
      <c r="E46" s="176"/>
      <c r="F46" s="176"/>
      <c r="G46" s="176"/>
      <c r="H46" s="176"/>
      <c r="N46" s="23"/>
      <c r="O46" s="175"/>
      <c r="P46" s="175"/>
      <c r="Q46" s="175"/>
      <c r="R46" s="175"/>
      <c r="S46" s="175"/>
      <c r="T46" s="175"/>
      <c r="U46" s="175"/>
      <c r="V46" s="175"/>
    </row>
    <row r="47" spans="1:22" x14ac:dyDescent="0.3">
      <c r="A47" s="2" t="s">
        <v>248</v>
      </c>
      <c r="N47" s="23"/>
      <c r="O47" s="175"/>
      <c r="P47" s="175"/>
      <c r="Q47" s="175"/>
      <c r="R47" s="175"/>
      <c r="S47" s="175"/>
      <c r="T47" s="175"/>
      <c r="U47" s="175"/>
      <c r="V47" s="175"/>
    </row>
    <row r="48" spans="1:22" x14ac:dyDescent="0.3">
      <c r="A48" s="156" t="s">
        <v>217</v>
      </c>
      <c r="B48" s="156" t="s">
        <v>249</v>
      </c>
      <c r="C48" s="164" t="s">
        <v>250</v>
      </c>
    </row>
    <row r="49" spans="1:4" x14ac:dyDescent="0.3">
      <c r="A49" s="158" t="str">
        <f>I2</f>
        <v>Yes (Default)</v>
      </c>
      <c r="B49" s="177">
        <v>1</v>
      </c>
      <c r="C49" s="3">
        <v>0</v>
      </c>
    </row>
    <row r="50" spans="1:4" x14ac:dyDescent="0.3">
      <c r="A50" s="158" t="str">
        <f>I3</f>
        <v xml:space="preserve">No </v>
      </c>
      <c r="B50" s="178">
        <f>AssumptionTables!C15</f>
        <v>0.75</v>
      </c>
      <c r="C50" s="14">
        <f>AssumptionTables!C37</f>
        <v>0.05</v>
      </c>
      <c r="D50" s="1" t="s">
        <v>251</v>
      </c>
    </row>
    <row r="52" spans="1:4" x14ac:dyDescent="0.3">
      <c r="A52" s="2" t="s">
        <v>252</v>
      </c>
    </row>
    <row r="53" spans="1:4" x14ac:dyDescent="0.3">
      <c r="A53" s="1" t="s">
        <v>253</v>
      </c>
      <c r="B53" s="179">
        <v>0</v>
      </c>
      <c r="C53" s="179">
        <v>1</v>
      </c>
    </row>
    <row r="54" spans="1:4" ht="30.75" customHeight="1" x14ac:dyDescent="0.3">
      <c r="A54" s="3"/>
      <c r="B54" s="180" t="s">
        <v>254</v>
      </c>
      <c r="C54" s="180" t="s">
        <v>491</v>
      </c>
    </row>
    <row r="55" spans="1:4" x14ac:dyDescent="0.3">
      <c r="A55" s="158" t="str">
        <f t="shared" ref="A55:A60" si="17">A2</f>
        <v>Illinois</v>
      </c>
      <c r="B55" s="182">
        <v>51.78</v>
      </c>
      <c r="C55" s="182">
        <v>51.71</v>
      </c>
    </row>
    <row r="56" spans="1:4" x14ac:dyDescent="0.3">
      <c r="A56" s="158" t="str">
        <f t="shared" si="17"/>
        <v>Indiana</v>
      </c>
      <c r="B56" s="182">
        <v>47.91</v>
      </c>
      <c r="C56" s="182">
        <v>36.270000000000003</v>
      </c>
    </row>
    <row r="57" spans="1:4" x14ac:dyDescent="0.3">
      <c r="A57" s="158" t="str">
        <f t="shared" si="17"/>
        <v>Michigan</v>
      </c>
      <c r="B57" s="182">
        <v>41.97</v>
      </c>
      <c r="C57" s="182">
        <v>42.77</v>
      </c>
    </row>
    <row r="58" spans="1:4" x14ac:dyDescent="0.3">
      <c r="A58" s="158" t="str">
        <f t="shared" si="17"/>
        <v>Minnesota</v>
      </c>
      <c r="B58" s="182">
        <v>63.52</v>
      </c>
      <c r="C58" s="182">
        <v>57.78</v>
      </c>
    </row>
    <row r="59" spans="1:4" x14ac:dyDescent="0.3">
      <c r="A59" s="158" t="str">
        <f t="shared" si="17"/>
        <v>Ohio</v>
      </c>
      <c r="B59" s="182">
        <v>44.35</v>
      </c>
      <c r="C59" s="182">
        <v>45.39</v>
      </c>
    </row>
    <row r="60" spans="1:4" x14ac:dyDescent="0.3">
      <c r="A60" s="158" t="str">
        <f t="shared" si="17"/>
        <v>Wisconsin</v>
      </c>
      <c r="B60" s="182">
        <v>65</v>
      </c>
      <c r="C60" s="182">
        <v>61</v>
      </c>
    </row>
    <row r="62" spans="1:4" x14ac:dyDescent="0.3">
      <c r="A62" s="2" t="s">
        <v>554</v>
      </c>
    </row>
    <row r="63" spans="1:4" x14ac:dyDescent="0.3">
      <c r="A63" s="2"/>
      <c r="C63" s="3" t="s">
        <v>550</v>
      </c>
      <c r="D63" s="3" t="s">
        <v>551</v>
      </c>
    </row>
    <row r="64" spans="1:4" x14ac:dyDescent="0.3">
      <c r="A64" s="2"/>
      <c r="C64" s="101">
        <v>55</v>
      </c>
      <c r="D64" s="101">
        <v>8</v>
      </c>
    </row>
    <row r="65" spans="1:6" x14ac:dyDescent="0.3">
      <c r="A65" s="156" t="s">
        <v>217</v>
      </c>
      <c r="B65" s="156" t="s">
        <v>549</v>
      </c>
      <c r="C65" s="156" t="s">
        <v>552</v>
      </c>
      <c r="D65" s="156" t="s">
        <v>553</v>
      </c>
      <c r="E65" s="156" t="s">
        <v>255</v>
      </c>
    </row>
    <row r="66" spans="1:6" x14ac:dyDescent="0.3">
      <c r="A66" s="158" t="str">
        <f t="shared" ref="A66:A72" si="18">Q2</f>
        <v>15 miles or less (one way) (default)</v>
      </c>
      <c r="B66" s="3"/>
      <c r="C66" s="4">
        <f t="shared" ref="C66:C72" si="19">(B66*2)/$C$64</f>
        <v>0</v>
      </c>
      <c r="D66" s="4">
        <f t="shared" ref="D66:D72" si="20">$D$64-C66</f>
        <v>8</v>
      </c>
      <c r="E66" s="85">
        <f t="shared" ref="E66:E72" si="21">D66/$D$64</f>
        <v>1</v>
      </c>
      <c r="F66" s="22"/>
    </row>
    <row r="67" spans="1:6" x14ac:dyDescent="0.3">
      <c r="A67" s="158" t="str">
        <f t="shared" si="18"/>
        <v>16 - 30 miles (one way)</v>
      </c>
      <c r="B67" s="3">
        <v>30</v>
      </c>
      <c r="C67" s="4">
        <f t="shared" si="19"/>
        <v>1.0909090909090908</v>
      </c>
      <c r="D67" s="4">
        <f t="shared" si="20"/>
        <v>6.9090909090909092</v>
      </c>
      <c r="E67" s="85">
        <f t="shared" si="21"/>
        <v>0.86363636363636365</v>
      </c>
      <c r="F67" s="22"/>
    </row>
    <row r="68" spans="1:6" x14ac:dyDescent="0.3">
      <c r="A68" s="158" t="str">
        <f t="shared" si="18"/>
        <v>31 - 45 miles (one way)</v>
      </c>
      <c r="B68" s="3">
        <v>45</v>
      </c>
      <c r="C68" s="4">
        <f t="shared" si="19"/>
        <v>1.6363636363636365</v>
      </c>
      <c r="D68" s="4">
        <f t="shared" si="20"/>
        <v>6.3636363636363633</v>
      </c>
      <c r="E68" s="85">
        <f t="shared" si="21"/>
        <v>0.79545454545454541</v>
      </c>
      <c r="F68" s="22"/>
    </row>
    <row r="69" spans="1:6" x14ac:dyDescent="0.3">
      <c r="A69" s="158" t="str">
        <f t="shared" si="18"/>
        <v>46 - 60 miles (one way)</v>
      </c>
      <c r="B69" s="3">
        <v>60</v>
      </c>
      <c r="C69" s="4">
        <f t="shared" si="19"/>
        <v>2.1818181818181817</v>
      </c>
      <c r="D69" s="4">
        <f t="shared" si="20"/>
        <v>5.8181818181818183</v>
      </c>
      <c r="E69" s="85">
        <f t="shared" si="21"/>
        <v>0.72727272727272729</v>
      </c>
      <c r="F69" s="22"/>
    </row>
    <row r="70" spans="1:6" x14ac:dyDescent="0.3">
      <c r="A70" s="158" t="str">
        <f t="shared" si="18"/>
        <v>61 - 75 miles (one way)</v>
      </c>
      <c r="B70" s="3">
        <v>75</v>
      </c>
      <c r="C70" s="4">
        <f t="shared" si="19"/>
        <v>2.7272727272727271</v>
      </c>
      <c r="D70" s="4">
        <f t="shared" si="20"/>
        <v>5.2727272727272734</v>
      </c>
      <c r="E70" s="85">
        <f t="shared" si="21"/>
        <v>0.65909090909090917</v>
      </c>
      <c r="F70" s="22"/>
    </row>
    <row r="71" spans="1:6" x14ac:dyDescent="0.3">
      <c r="A71" s="158" t="str">
        <f t="shared" si="18"/>
        <v>76 - 90 miles (one way)</v>
      </c>
      <c r="B71" s="3">
        <v>90</v>
      </c>
      <c r="C71" s="4">
        <f t="shared" si="19"/>
        <v>3.2727272727272729</v>
      </c>
      <c r="D71" s="4">
        <f t="shared" si="20"/>
        <v>4.7272727272727266</v>
      </c>
      <c r="E71" s="85">
        <f t="shared" si="21"/>
        <v>0.59090909090909083</v>
      </c>
      <c r="F71" s="22"/>
    </row>
    <row r="72" spans="1:6" x14ac:dyDescent="0.3">
      <c r="A72" s="158" t="str">
        <f t="shared" si="18"/>
        <v>More than 90 miles (one way)</v>
      </c>
      <c r="B72" s="3">
        <v>105</v>
      </c>
      <c r="C72" s="4">
        <f t="shared" si="19"/>
        <v>3.8181818181818183</v>
      </c>
      <c r="D72" s="4">
        <f t="shared" si="20"/>
        <v>4.1818181818181817</v>
      </c>
      <c r="E72" s="85">
        <f t="shared" si="21"/>
        <v>0.52272727272727271</v>
      </c>
      <c r="F72" s="22"/>
    </row>
  </sheetData>
  <sortState xmlns:xlrd2="http://schemas.microsoft.com/office/spreadsheetml/2017/richdata2" ref="K2:K7">
    <sortCondition ref="K2"/>
  </sortState>
  <customSheetViews>
    <customSheetView guid="{C6E026A6-065F-4BC7-8A1C-5537BAE31A06}" state="hidden">
      <pageMargins left="0" right="0" top="0" bottom="0" header="0" footer="0"/>
      <pageSetup orientation="portrait" horizontalDpi="4294967293" verticalDpi="0" r:id="rId1"/>
    </customSheetView>
    <customSheetView guid="{C1E42E27-80DF-5D46-A74B-2BA4AA86045C}" state="hidden">
      <pageMargins left="0" right="0" top="0" bottom="0" header="0" footer="0"/>
      <pageSetup orientation="portrait" horizontalDpi="4294967293" verticalDpi="0" r:id="rId2"/>
    </customSheetView>
    <customSheetView guid="{487CB698-FD0E-4580-BCE5-B1F3904B4ADD}">
      <selection activeCell="N17" sqref="N17"/>
      <pageMargins left="0" right="0" top="0" bottom="0" header="0" footer="0"/>
      <pageSetup orientation="portrait" horizontalDpi="4294967293" verticalDpi="0" r:id="rId3"/>
    </customSheetView>
  </customSheetViews>
  <pageMargins left="0.7" right="0.7" top="0.75" bottom="0.75" header="0.3" footer="0.3"/>
  <pageSetup orientation="portrait" horizontalDpi="4294967293" verticalDpi="0" r:id="rId4"/>
  <ignoredErrors>
    <ignoredError sqref="D43:F4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2"/>
  <sheetViews>
    <sheetView workbookViewId="0">
      <selection activeCell="L13" sqref="L13"/>
    </sheetView>
  </sheetViews>
  <sheetFormatPr defaultColWidth="8.81640625" defaultRowHeight="13" x14ac:dyDescent="0.3"/>
  <cols>
    <col min="1" max="1" width="32.453125" style="1" bestFit="1" customWidth="1"/>
    <col min="2" max="2" width="9.453125" style="1" bestFit="1" customWidth="1"/>
    <col min="3" max="3" width="7.453125" style="1" bestFit="1" customWidth="1"/>
    <col min="4" max="4" width="11.7265625" style="1" customWidth="1"/>
    <col min="5" max="5" width="12.26953125" style="1" customWidth="1"/>
    <col min="6" max="6" width="11" style="1" customWidth="1"/>
    <col min="7" max="7" width="13" style="1" customWidth="1"/>
    <col min="8" max="8" width="9.1796875" style="1" customWidth="1"/>
    <col min="9" max="9" width="12" style="1" customWidth="1"/>
    <col min="10" max="10" width="2.1796875" style="1" customWidth="1"/>
    <col min="11" max="11" width="8.81640625" style="1"/>
    <col min="12" max="12" width="7.81640625" style="1" customWidth="1"/>
    <col min="13" max="16384" width="8.81640625" style="1"/>
  </cols>
  <sheetData>
    <row r="1" spans="1:16" ht="14.5" customHeight="1" x14ac:dyDescent="0.3">
      <c r="A1" s="2" t="s">
        <v>256</v>
      </c>
      <c r="B1" s="845" t="s">
        <v>80</v>
      </c>
      <c r="C1" s="845" t="s">
        <v>258</v>
      </c>
      <c r="D1" s="845" t="s">
        <v>218</v>
      </c>
      <c r="E1" s="847" t="s">
        <v>219</v>
      </c>
      <c r="F1" s="845" t="s">
        <v>220</v>
      </c>
      <c r="G1" s="847" t="s">
        <v>221</v>
      </c>
      <c r="H1" s="847" t="s">
        <v>222</v>
      </c>
      <c r="I1" s="847" t="s">
        <v>223</v>
      </c>
      <c r="J1" s="274"/>
      <c r="K1" s="851" t="s">
        <v>498</v>
      </c>
      <c r="L1" s="849" t="s">
        <v>492</v>
      </c>
      <c r="M1" s="849" t="s">
        <v>493</v>
      </c>
      <c r="N1" s="849" t="s">
        <v>494</v>
      </c>
      <c r="O1" s="849" t="s">
        <v>495</v>
      </c>
    </row>
    <row r="2" spans="1:16" x14ac:dyDescent="0.3">
      <c r="A2" s="2" t="s">
        <v>257</v>
      </c>
      <c r="B2" s="846"/>
      <c r="C2" s="846"/>
      <c r="D2" s="846"/>
      <c r="E2" s="848"/>
      <c r="F2" s="846"/>
      <c r="G2" s="848"/>
      <c r="H2" s="848"/>
      <c r="I2" s="848"/>
      <c r="J2" s="274"/>
      <c r="K2" s="852"/>
      <c r="L2" s="850"/>
      <c r="M2" s="850"/>
      <c r="N2" s="850"/>
      <c r="O2" s="850"/>
    </row>
    <row r="3" spans="1:16" x14ac:dyDescent="0.3">
      <c r="A3" s="9" t="s">
        <v>259</v>
      </c>
      <c r="B3" s="9" t="s">
        <v>260</v>
      </c>
      <c r="C3" s="3">
        <v>52</v>
      </c>
      <c r="D3" s="3">
        <v>26</v>
      </c>
      <c r="E3" s="3">
        <v>52</v>
      </c>
      <c r="F3" s="3">
        <v>26</v>
      </c>
      <c r="G3" s="3">
        <v>52</v>
      </c>
      <c r="H3" s="3">
        <v>26</v>
      </c>
      <c r="I3" s="267">
        <v>52</v>
      </c>
      <c r="K3" s="272">
        <v>52</v>
      </c>
      <c r="L3" s="367">
        <f>AssumptionTables!C66</f>
        <v>34.666666666666664</v>
      </c>
      <c r="M3" s="367">
        <f>AssumptionTables!C66</f>
        <v>34.666666666666664</v>
      </c>
      <c r="N3" s="367">
        <f>AssumptionTables!C66</f>
        <v>34.666666666666664</v>
      </c>
      <c r="O3" s="367">
        <f>AssumptionTables!C66</f>
        <v>34.666666666666664</v>
      </c>
      <c r="P3" s="1" t="s">
        <v>490</v>
      </c>
    </row>
    <row r="4" spans="1:16" x14ac:dyDescent="0.3">
      <c r="A4" s="9" t="s">
        <v>261</v>
      </c>
      <c r="B4" s="9" t="s">
        <v>262</v>
      </c>
      <c r="C4" s="148">
        <f>Input!$C$8</f>
        <v>0</v>
      </c>
      <c r="D4" s="148">
        <f>Input!$C$8</f>
        <v>0</v>
      </c>
      <c r="E4" s="148">
        <f>Input!$C$8</f>
        <v>0</v>
      </c>
      <c r="F4" s="148">
        <f>Input!$C$8</f>
        <v>0</v>
      </c>
      <c r="G4" s="148">
        <f>Input!$C$8</f>
        <v>0</v>
      </c>
      <c r="H4" s="148">
        <f>Input!$C$8</f>
        <v>0</v>
      </c>
      <c r="I4" s="268">
        <f>Input!$C$8</f>
        <v>0</v>
      </c>
      <c r="J4" s="275"/>
      <c r="K4" s="273">
        <f>Input!$C$8</f>
        <v>0</v>
      </c>
      <c r="L4" s="266">
        <f>Input!$C$8</f>
        <v>0</v>
      </c>
      <c r="M4" s="266">
        <f>Input!$C$8</f>
        <v>0</v>
      </c>
      <c r="N4" s="266">
        <f>Input!$C$8</f>
        <v>0</v>
      </c>
      <c r="O4" s="266">
        <f>Input!$C$8</f>
        <v>0</v>
      </c>
      <c r="P4" s="1" t="s">
        <v>490</v>
      </c>
    </row>
    <row r="5" spans="1:16" x14ac:dyDescent="0.3">
      <c r="A5" s="9" t="s">
        <v>499</v>
      </c>
      <c r="B5" s="9" t="s">
        <v>525</v>
      </c>
      <c r="C5" s="3" t="e">
        <f>VLOOKUP(Input!$C$10,DropDowns_LookUps!$A$11:$H$16,8,FALSE)</f>
        <v>#N/A</v>
      </c>
      <c r="D5" s="3" t="e">
        <f>VLOOKUP(Input!$C$10,DropDowns_LookUps!$A$11:$G$16,2,FALSE)</f>
        <v>#N/A</v>
      </c>
      <c r="E5" s="3" t="e">
        <f>VLOOKUP(Input!$C$10,DropDowns_LookUps!$A$11:$G$16,3,FALSE)</f>
        <v>#N/A</v>
      </c>
      <c r="F5" s="3" t="e">
        <f>VLOOKUP(Input!$C$10,DropDowns_LookUps!$A$11:$G$16,4,FALSE)</f>
        <v>#N/A</v>
      </c>
      <c r="G5" s="3" t="e">
        <f>VLOOKUP(Input!$C$10,DropDowns_LookUps!$A$11:$G$16,5,FALSE)</f>
        <v>#N/A</v>
      </c>
      <c r="H5" s="3" t="e">
        <f>VLOOKUP(Input!$C$10,DropDowns_LookUps!$A$11:$G$16,6,FALSE)</f>
        <v>#N/A</v>
      </c>
      <c r="I5" s="267" t="e">
        <f>VLOOKUP(Input!$C$10,DropDowns_LookUps!$A$11:$G$16,7,FALSE)</f>
        <v>#N/A</v>
      </c>
      <c r="K5" s="363" t="e">
        <f>VLOOKUP(Input!$C$32,DropDowns_LookUps!$A$11:$N$16,10,FALSE)</f>
        <v>#N/A</v>
      </c>
      <c r="L5" s="364" t="e">
        <f>VLOOKUP(Input!$C$32,DropDowns_LookUps!$A$11:$N$16,11,FALSE)</f>
        <v>#N/A</v>
      </c>
      <c r="M5" s="364" t="e">
        <f>VLOOKUP(Input!$C$32,DropDowns_LookUps!$A$11:$N$16,12,FALSE)</f>
        <v>#N/A</v>
      </c>
      <c r="N5" s="364" t="e">
        <f>VLOOKUP(Input!$C$32,DropDowns_LookUps!$A$11:$N$16,13,FALSE)</f>
        <v>#N/A</v>
      </c>
      <c r="O5" s="364" t="e">
        <f>VLOOKUP(Input!$C$32,DropDowns_LookUps!$A$11:$N$16,14,FALSE)</f>
        <v>#N/A</v>
      </c>
      <c r="P5" s="1" t="s">
        <v>490</v>
      </c>
    </row>
    <row r="6" spans="1:16" x14ac:dyDescent="0.3">
      <c r="A6" s="9" t="s">
        <v>502</v>
      </c>
      <c r="B6" s="9" t="s">
        <v>263</v>
      </c>
      <c r="C6" s="148" t="e">
        <f t="shared" ref="C6:H6" si="0">C5*C4</f>
        <v>#N/A</v>
      </c>
      <c r="D6" s="148" t="e">
        <f t="shared" si="0"/>
        <v>#N/A</v>
      </c>
      <c r="E6" s="148" t="e">
        <f t="shared" si="0"/>
        <v>#N/A</v>
      </c>
      <c r="F6" s="148" t="e">
        <f t="shared" si="0"/>
        <v>#N/A</v>
      </c>
      <c r="G6" s="148" t="e">
        <f t="shared" si="0"/>
        <v>#N/A</v>
      </c>
      <c r="H6" s="148" t="e">
        <f t="shared" si="0"/>
        <v>#N/A</v>
      </c>
      <c r="I6" s="268" t="e">
        <f>I5*I4</f>
        <v>#N/A</v>
      </c>
      <c r="J6" s="275"/>
      <c r="K6" s="273" t="e">
        <f>K5*K4</f>
        <v>#N/A</v>
      </c>
      <c r="L6" s="266" t="e">
        <f>L5*L4</f>
        <v>#N/A</v>
      </c>
      <c r="M6" s="266" t="e">
        <f t="shared" ref="M6:O6" si="1">M5*M4</f>
        <v>#N/A</v>
      </c>
      <c r="N6" s="266" t="e">
        <f t="shared" si="1"/>
        <v>#N/A</v>
      </c>
      <c r="O6" s="266" t="e">
        <f t="shared" si="1"/>
        <v>#N/A</v>
      </c>
      <c r="P6" s="1" t="s">
        <v>490</v>
      </c>
    </row>
    <row r="7" spans="1:16" x14ac:dyDescent="0.3">
      <c r="A7" s="9" t="s">
        <v>501</v>
      </c>
      <c r="B7" s="9" t="s">
        <v>525</v>
      </c>
      <c r="C7" s="4" t="e">
        <f>VLOOKUP(Input!$C$16,DropDowns_LookUps!$A$36:$H$40,8, FALSE)</f>
        <v>#N/A</v>
      </c>
      <c r="D7" s="4" t="e">
        <f>VLOOKUP(Input!$C$16,DropDowns_LookUps!$A$36:$G$40,2, FALSE)</f>
        <v>#N/A</v>
      </c>
      <c r="E7" s="4" t="e">
        <f>VLOOKUP(Input!$C$16,DropDowns_LookUps!$A$36:$G$40,3, FALSE)</f>
        <v>#N/A</v>
      </c>
      <c r="F7" s="4" t="e">
        <f>VLOOKUP(Input!$C$16,DropDowns_LookUps!$A$36:$G$40,4, FALSE)</f>
        <v>#N/A</v>
      </c>
      <c r="G7" s="4" t="e">
        <f>VLOOKUP(Input!$C$16,DropDowns_LookUps!$A$36:$G$40,5, FALSE)</f>
        <v>#N/A</v>
      </c>
      <c r="H7" s="4" t="e">
        <f>VLOOKUP(Input!$C$16,DropDowns_LookUps!$A$36:$G$40,6, FALSE)</f>
        <v>#N/A</v>
      </c>
      <c r="I7" s="269" t="e">
        <f>VLOOKUP(Input!$C$16,DropDowns_LookUps!$A$36:$G$40,7, FALSE)</f>
        <v>#N/A</v>
      </c>
      <c r="J7" s="276"/>
      <c r="K7" s="272" t="e">
        <f>VLOOKUP(Input!$C$34,DropDowns_LookUps!$A$36:$M$40,9, FALSE)</f>
        <v>#N/A</v>
      </c>
      <c r="L7" s="298" t="e">
        <f>VLOOKUP(Input!$C$34,DropDowns_LookUps!$A$36:$M$40,10, FALSE)</f>
        <v>#N/A</v>
      </c>
      <c r="M7" s="298" t="e">
        <f>VLOOKUP(Input!$C$34,DropDowns_LookUps!$A$36:$M$40,11, FALSE)</f>
        <v>#N/A</v>
      </c>
      <c r="N7" s="298" t="e">
        <f>VLOOKUP(Input!$C$34,DropDowns_LookUps!$A$36:$M$40,12, FALSE)</f>
        <v>#N/A</v>
      </c>
      <c r="O7" s="298" t="e">
        <f>VLOOKUP(Input!$C$34,DropDowns_LookUps!$A$36:$M$40,13, FALSE)</f>
        <v>#N/A</v>
      </c>
      <c r="P7" s="1" t="s">
        <v>490</v>
      </c>
    </row>
    <row r="8" spans="1:16" x14ac:dyDescent="0.3">
      <c r="A8" s="9" t="s">
        <v>265</v>
      </c>
      <c r="B8" s="9" t="s">
        <v>525</v>
      </c>
      <c r="C8" s="3" t="e">
        <f>VLOOKUP(Input!$C$6,DropDowns_LookUps!$A$27:$F$33,5,FALSE)</f>
        <v>#N/A</v>
      </c>
      <c r="D8" s="3" t="e">
        <f>VLOOKUP(Input!$C$6,DropDowns_LookUps!$A$27:$F$33,5,FALSE)</f>
        <v>#N/A</v>
      </c>
      <c r="E8" s="3" t="e">
        <f>VLOOKUP(Input!$C$6,DropDowns_LookUps!$A$27:$F$33,5,FALSE)</f>
        <v>#N/A</v>
      </c>
      <c r="F8" s="3" t="e">
        <f>VLOOKUP(Input!$C$6,DropDowns_LookUps!$A$27:$F$33,5,FALSE)</f>
        <v>#N/A</v>
      </c>
      <c r="G8" s="3" t="e">
        <f>VLOOKUP(Input!$C$6,DropDowns_LookUps!$A$27:$F$33,5,FALSE)</f>
        <v>#N/A</v>
      </c>
      <c r="H8" s="3" t="e">
        <f>VLOOKUP(Input!$C$6,DropDowns_LookUps!$A$27:$F$33,5,FALSE)</f>
        <v>#N/A</v>
      </c>
      <c r="I8" s="267" t="e">
        <f>VLOOKUP(Input!$C$6,DropDowns_LookUps!$A$27:$F$33,5,FALSE)</f>
        <v>#N/A</v>
      </c>
      <c r="K8" s="272" t="e">
        <f>VLOOKUP(Input!$C$6,DropDowns_LookUps!$A$27:$F$33,5,FALSE)</f>
        <v>#N/A</v>
      </c>
      <c r="L8" s="259" t="e">
        <f>VLOOKUP(Input!$C$6,DropDowns_LookUps!$A$27:$F$33,5,FALSE)</f>
        <v>#N/A</v>
      </c>
      <c r="M8" s="259" t="e">
        <f>VLOOKUP(Input!$C$6,DropDowns_LookUps!$A$27:$F$33,5,FALSE)</f>
        <v>#N/A</v>
      </c>
      <c r="N8" s="259" t="e">
        <f>VLOOKUP(Input!$C$6,DropDowns_LookUps!$A$27:$F$33,5,FALSE)</f>
        <v>#N/A</v>
      </c>
      <c r="O8" s="259" t="e">
        <f>VLOOKUP(Input!$C$6,DropDowns_LookUps!$A$27:$F$33,5,FALSE)</f>
        <v>#N/A</v>
      </c>
      <c r="P8" s="1" t="s">
        <v>490</v>
      </c>
    </row>
    <row r="9" spans="1:16" x14ac:dyDescent="0.3">
      <c r="A9" s="9" t="s">
        <v>242</v>
      </c>
      <c r="B9" s="9" t="s">
        <v>525</v>
      </c>
      <c r="C9" s="3" t="e">
        <f>VLOOKUP(Input!$C$6,DropDowns_LookUps!$A$27:$F$33,6,FALSE)</f>
        <v>#N/A</v>
      </c>
      <c r="D9" s="3" t="e">
        <f>VLOOKUP(Input!$C$6,DropDowns_LookUps!$A$27:$F$33,6,FALSE)</f>
        <v>#N/A</v>
      </c>
      <c r="E9" s="3" t="e">
        <f>VLOOKUP(Input!$C$6,DropDowns_LookUps!$A$27:$F$33,6,FALSE)</f>
        <v>#N/A</v>
      </c>
      <c r="F9" s="3" t="e">
        <f>VLOOKUP(Input!$C$6,DropDowns_LookUps!$A$27:$F$33,6,FALSE)</f>
        <v>#N/A</v>
      </c>
      <c r="G9" s="3" t="e">
        <f>VLOOKUP(Input!$C$6,DropDowns_LookUps!$A$27:$F$33,6,FALSE)</f>
        <v>#N/A</v>
      </c>
      <c r="H9" s="3" t="e">
        <f>VLOOKUP(Input!$C$6,DropDowns_LookUps!$A$27:$F$33,6,FALSE)</f>
        <v>#N/A</v>
      </c>
      <c r="I9" s="267" t="e">
        <f>VLOOKUP(Input!$C$6,DropDowns_LookUps!$A$27:$F$33,6,FALSE)</f>
        <v>#N/A</v>
      </c>
      <c r="K9" s="272" t="e">
        <f>VLOOKUP(Input!$C$6,DropDowns_LookUps!$A$27:$F$33,6,FALSE)</f>
        <v>#N/A</v>
      </c>
      <c r="L9" s="259" t="e">
        <f>VLOOKUP(Input!$C$6,DropDowns_LookUps!$A$27:$F$33,6,FALSE)</f>
        <v>#N/A</v>
      </c>
      <c r="M9" s="259" t="e">
        <f>VLOOKUP(Input!$C$6,DropDowns_LookUps!$A$27:$F$33,6,FALSE)</f>
        <v>#N/A</v>
      </c>
      <c r="N9" s="259" t="e">
        <f>VLOOKUP(Input!$C$6,DropDowns_LookUps!$A$27:$F$33,6,FALSE)</f>
        <v>#N/A</v>
      </c>
      <c r="O9" s="259" t="e">
        <f>VLOOKUP(Input!$C$6,DropDowns_LookUps!$A$27:$F$33,6,FALSE)</f>
        <v>#N/A</v>
      </c>
      <c r="P9" s="1" t="s">
        <v>490</v>
      </c>
    </row>
    <row r="10" spans="1:16" x14ac:dyDescent="0.3">
      <c r="A10" s="9" t="s">
        <v>114</v>
      </c>
      <c r="B10" s="9" t="s">
        <v>264</v>
      </c>
      <c r="C10" s="3">
        <v>1</v>
      </c>
      <c r="D10" s="3">
        <v>1</v>
      </c>
      <c r="E10" s="3">
        <v>1</v>
      </c>
      <c r="F10" s="3">
        <v>1</v>
      </c>
      <c r="G10" s="3">
        <v>1</v>
      </c>
      <c r="H10" s="3" t="e">
        <f>VLOOKUP(Input!$C$14,DropDowns_LookUps!$A$48:$B$50,2,FALSE)</f>
        <v>#N/A</v>
      </c>
      <c r="I10" s="267" t="e">
        <f>VLOOKUP(Input!$C$14,DropDowns_LookUps!$A$48:$B$50,2,FALSE)</f>
        <v>#N/A</v>
      </c>
      <c r="K10" s="272"/>
      <c r="L10" s="259"/>
      <c r="M10" s="259"/>
      <c r="N10" s="259"/>
      <c r="O10" s="259"/>
      <c r="P10" s="1" t="s">
        <v>490</v>
      </c>
    </row>
    <row r="12" spans="1:16" x14ac:dyDescent="0.3">
      <c r="A12" s="2" t="s">
        <v>266</v>
      </c>
    </row>
    <row r="13" spans="1:16" x14ac:dyDescent="0.3">
      <c r="A13" s="9" t="s">
        <v>500</v>
      </c>
      <c r="B13" s="9" t="s">
        <v>263</v>
      </c>
      <c r="C13" s="11" t="e">
        <f>(C3*C6*(C7*C10))/2000</f>
        <v>#N/A</v>
      </c>
      <c r="D13" s="11" t="e">
        <f>(D3*D6*(D7*D10))/2000</f>
        <v>#N/A</v>
      </c>
      <c r="E13" s="11" t="e">
        <f t="shared" ref="E13:I13" si="2">(E3*E6*(E7*E10))/2000</f>
        <v>#N/A</v>
      </c>
      <c r="F13" s="11" t="e">
        <f t="shared" si="2"/>
        <v>#N/A</v>
      </c>
      <c r="G13" s="11" t="e">
        <f t="shared" si="2"/>
        <v>#N/A</v>
      </c>
      <c r="H13" s="11" t="e">
        <f>(H3*H6*(H7*H10))/2000</f>
        <v>#N/A</v>
      </c>
      <c r="I13" s="270" t="e">
        <f t="shared" si="2"/>
        <v>#N/A</v>
      </c>
      <c r="J13" s="277"/>
      <c r="K13" s="296" t="e">
        <f>(K3*K6*K7)/2000</f>
        <v>#N/A</v>
      </c>
      <c r="L13" s="296" t="e">
        <f>(L3*L6*L7)/2000</f>
        <v>#N/A</v>
      </c>
      <c r="M13" s="296" t="e">
        <f>(M3*M6*M7)/2000</f>
        <v>#N/A</v>
      </c>
      <c r="N13" s="296" t="e">
        <f>(N3*N6*N7)/2000</f>
        <v>#N/A</v>
      </c>
      <c r="O13" s="296" t="e">
        <f t="shared" ref="O13" si="3">(O3*O6*O7)/2000</f>
        <v>#N/A</v>
      </c>
      <c r="P13" s="1" t="s">
        <v>490</v>
      </c>
    </row>
    <row r="14" spans="1:16" x14ac:dyDescent="0.3">
      <c r="A14" s="9" t="s">
        <v>267</v>
      </c>
      <c r="B14" s="9" t="s">
        <v>263</v>
      </c>
      <c r="C14" s="11" t="e">
        <f>((C4*C9*C8)/2000)-C13</f>
        <v>#N/A</v>
      </c>
      <c r="D14" s="11" t="e">
        <f>((D4*D9*D8)/2000)-D13</f>
        <v>#N/A</v>
      </c>
      <c r="E14" s="11" t="e">
        <f t="shared" ref="E14:G14" si="4">((E4*E9*E8)/2000)-E13</f>
        <v>#N/A</v>
      </c>
      <c r="F14" s="11" t="e">
        <f t="shared" si="4"/>
        <v>#N/A</v>
      </c>
      <c r="G14" s="11" t="e">
        <f t="shared" si="4"/>
        <v>#N/A</v>
      </c>
      <c r="H14" s="11" t="e">
        <f>((H4*H9*H8)/2000)-H13</f>
        <v>#N/A</v>
      </c>
      <c r="I14" s="270" t="e">
        <f>((I4*I9*I8)/2000)-I13</f>
        <v>#N/A</v>
      </c>
      <c r="J14" s="270">
        <f t="shared" ref="J14" si="5">((J4*J9*J8)/2000)-J13</f>
        <v>0</v>
      </c>
      <c r="K14" s="296" t="e">
        <f>((K4*K9*K8)/2000)-K13</f>
        <v>#N/A</v>
      </c>
      <c r="L14" s="296" t="e">
        <f>((L4*L9*L8)/2000)-L13</f>
        <v>#N/A</v>
      </c>
      <c r="M14" s="296" t="e">
        <f>((M4*M9*M8)/2000)-M13</f>
        <v>#N/A</v>
      </c>
      <c r="N14" s="296" t="e">
        <f t="shared" ref="N14" si="6">((N4*N9*N8)/2000)-N13</f>
        <v>#N/A</v>
      </c>
      <c r="O14" s="296" t="e">
        <f t="shared" ref="O14" si="7">((O4*O9*O8)/2000)-O13</f>
        <v>#N/A</v>
      </c>
      <c r="P14" s="1" t="s">
        <v>490</v>
      </c>
    </row>
    <row r="15" spans="1:16" x14ac:dyDescent="0.3">
      <c r="C15" s="256"/>
      <c r="D15" s="7"/>
      <c r="E15" s="7"/>
      <c r="F15" s="7"/>
      <c r="G15" s="7"/>
      <c r="H15" s="7"/>
      <c r="I15" s="7"/>
      <c r="J15" s="278"/>
    </row>
    <row r="16" spans="1:16" x14ac:dyDescent="0.3">
      <c r="A16" s="2" t="s">
        <v>268</v>
      </c>
    </row>
    <row r="17" spans="1:16" x14ac:dyDescent="0.3">
      <c r="A17" s="1" t="s">
        <v>489</v>
      </c>
      <c r="B17" s="1" t="s">
        <v>263</v>
      </c>
      <c r="C17" s="8" t="e">
        <f>C13/(C13+C14)</f>
        <v>#N/A</v>
      </c>
      <c r="D17" s="8" t="e">
        <f>D13/(D13+D14)</f>
        <v>#N/A</v>
      </c>
      <c r="E17" s="8" t="e">
        <f t="shared" ref="E17:H17" si="8">E13/(E13+E14)</f>
        <v>#N/A</v>
      </c>
      <c r="F17" s="8" t="e">
        <f t="shared" si="8"/>
        <v>#N/A</v>
      </c>
      <c r="G17" s="8" t="e">
        <f t="shared" si="8"/>
        <v>#N/A</v>
      </c>
      <c r="H17" s="8" t="e">
        <f t="shared" si="8"/>
        <v>#N/A</v>
      </c>
      <c r="I17" s="271" t="e">
        <f>I13/(I13+I14)</f>
        <v>#N/A</v>
      </c>
      <c r="J17" s="271"/>
      <c r="K17" s="271" t="e">
        <f t="shared" ref="K17:O17" si="9">K13/(K13+K14)</f>
        <v>#N/A</v>
      </c>
      <c r="L17" s="271" t="e">
        <f>L13/(L13+L14)</f>
        <v>#N/A</v>
      </c>
      <c r="M17" s="271" t="e">
        <f t="shared" si="9"/>
        <v>#N/A</v>
      </c>
      <c r="N17" s="271" t="e">
        <f t="shared" si="9"/>
        <v>#N/A</v>
      </c>
      <c r="O17" s="271" t="e">
        <f t="shared" si="9"/>
        <v>#N/A</v>
      </c>
      <c r="P17" s="1" t="s">
        <v>512</v>
      </c>
    </row>
    <row r="22" spans="1:16" x14ac:dyDescent="0.3">
      <c r="E22" s="275"/>
    </row>
  </sheetData>
  <customSheetViews>
    <customSheetView guid="{C6E026A6-065F-4BC7-8A1C-5537BAE31A06}" state="hidden">
      <pageMargins left="0" right="0" top="0" bottom="0" header="0" footer="0"/>
    </customSheetView>
    <customSheetView guid="{C1E42E27-80DF-5D46-A74B-2BA4AA86045C}" state="hidden">
      <pageMargins left="0" right="0" top="0" bottom="0" header="0" footer="0"/>
    </customSheetView>
    <customSheetView guid="{487CB698-FD0E-4580-BCE5-B1F3904B4ADD}">
      <selection activeCell="F21" sqref="F21"/>
      <pageMargins left="0" right="0" top="0" bottom="0" header="0" footer="0"/>
    </customSheetView>
  </customSheetViews>
  <mergeCells count="13">
    <mergeCell ref="I1:I2"/>
    <mergeCell ref="O1:O2"/>
    <mergeCell ref="N1:N2"/>
    <mergeCell ref="M1:M2"/>
    <mergeCell ref="L1:L2"/>
    <mergeCell ref="K1:K2"/>
    <mergeCell ref="B1:B2"/>
    <mergeCell ref="H1:H2"/>
    <mergeCell ref="G1:G2"/>
    <mergeCell ref="F1:F2"/>
    <mergeCell ref="E1:E2"/>
    <mergeCell ref="D1:D2"/>
    <mergeCell ref="C1: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46"/>
  <sheetViews>
    <sheetView topLeftCell="Q20" workbookViewId="0">
      <selection activeCell="AE43" sqref="AE43"/>
    </sheetView>
  </sheetViews>
  <sheetFormatPr defaultColWidth="8.81640625" defaultRowHeight="13" x14ac:dyDescent="0.3"/>
  <cols>
    <col min="1" max="1" width="34" style="1" bestFit="1" customWidth="1"/>
    <col min="2" max="2" width="14.81640625" style="1" customWidth="1"/>
    <col min="3" max="3" width="9.7265625" style="1" customWidth="1"/>
    <col min="4" max="4" width="11.81640625" style="1" customWidth="1"/>
    <col min="5" max="5" width="11.453125" style="1" customWidth="1"/>
    <col min="6" max="6" width="10.453125" style="1" customWidth="1"/>
    <col min="7" max="7" width="13" style="1" bestFit="1" customWidth="1"/>
    <col min="8" max="8" width="10.453125" style="1" customWidth="1"/>
    <col min="9" max="9" width="11.81640625" style="1" customWidth="1"/>
    <col min="10" max="10" width="2.81640625" style="1" customWidth="1"/>
    <col min="11" max="11" width="34" style="1" bestFit="1" customWidth="1"/>
    <col min="12" max="12" width="12.81640625" style="1" bestFit="1" customWidth="1"/>
    <col min="13" max="13" width="12" style="1" bestFit="1" customWidth="1"/>
    <col min="14" max="15" width="11.1796875" style="1" customWidth="1"/>
    <col min="16" max="16" width="10.453125" style="1" customWidth="1"/>
    <col min="17" max="17" width="11.453125" style="1" customWidth="1"/>
    <col min="18" max="18" width="10.81640625" style="1" customWidth="1"/>
    <col min="19" max="19" width="10.453125" style="1" customWidth="1"/>
    <col min="20" max="20" width="2" style="1" customWidth="1"/>
    <col min="21" max="21" width="12.81640625" style="1" bestFit="1" customWidth="1"/>
    <col min="22" max="22" width="10.7265625" style="1" bestFit="1" customWidth="1"/>
    <col min="23" max="23" width="10.453125" style="1" customWidth="1"/>
    <col min="24" max="24" width="10.7265625" style="1" bestFit="1" customWidth="1"/>
    <col min="25" max="26" width="10.453125" style="1" customWidth="1"/>
    <col min="27" max="27" width="3.1796875" style="1" customWidth="1"/>
    <col min="28" max="28" width="34" style="1" bestFit="1" customWidth="1"/>
    <col min="29" max="29" width="5.81640625" style="1" bestFit="1" customWidth="1"/>
    <col min="30" max="30" width="10.7265625" style="1" bestFit="1" customWidth="1"/>
    <col min="31" max="32" width="12.81640625" style="1" bestFit="1" customWidth="1"/>
    <col min="33" max="34" width="12" style="1" bestFit="1" customWidth="1"/>
    <col min="35" max="16384" width="8.81640625" style="1"/>
  </cols>
  <sheetData>
    <row r="1" spans="1:35" x14ac:dyDescent="0.3">
      <c r="A1" s="183" t="s">
        <v>288</v>
      </c>
      <c r="C1" s="22"/>
      <c r="K1" s="185" t="s">
        <v>617</v>
      </c>
      <c r="AB1" s="185" t="s">
        <v>616</v>
      </c>
      <c r="AC1" s="185"/>
    </row>
    <row r="2" spans="1:35" s="23" customFormat="1" ht="26" x14ac:dyDescent="0.3">
      <c r="A2" s="726"/>
      <c r="B2" s="726" t="s">
        <v>80</v>
      </c>
      <c r="C2" s="727" t="s">
        <v>270</v>
      </c>
      <c r="D2" s="728" t="s">
        <v>218</v>
      </c>
      <c r="E2" s="728" t="s">
        <v>219</v>
      </c>
      <c r="F2" s="728" t="s">
        <v>220</v>
      </c>
      <c r="G2" s="728" t="s">
        <v>221</v>
      </c>
      <c r="H2" s="728" t="s">
        <v>222</v>
      </c>
      <c r="I2" s="728" t="s">
        <v>223</v>
      </c>
      <c r="K2" s="111">
        <f>A2</f>
        <v>0</v>
      </c>
      <c r="L2" s="111" t="str">
        <f t="shared" ref="K2:U5" si="0">B2</f>
        <v>Source</v>
      </c>
      <c r="M2" s="112" t="str">
        <f t="shared" si="0"/>
        <v>Recycling Drop-Off</v>
      </c>
      <c r="N2" s="113" t="str">
        <f t="shared" si="0"/>
        <v>Dual Stream Bins EOW</v>
      </c>
      <c r="O2" s="113" t="str">
        <f t="shared" si="0"/>
        <v>Dual Stream Bins Weekly</v>
      </c>
      <c r="P2" s="113" t="str">
        <f t="shared" si="0"/>
        <v>Dual Stream Carts EOW</v>
      </c>
      <c r="Q2" s="113" t="str">
        <f t="shared" si="0"/>
        <v>Dual Stream Carts Weekly</v>
      </c>
      <c r="R2" s="113" t="str">
        <f t="shared" si="0"/>
        <v>SS Carts EOW</v>
      </c>
      <c r="S2" s="113" t="str">
        <f t="shared" si="0"/>
        <v>SS Carts Weekly</v>
      </c>
      <c r="U2" s="726" t="s">
        <v>80</v>
      </c>
      <c r="V2" s="290" t="s">
        <v>498</v>
      </c>
      <c r="W2" s="290" t="s">
        <v>492</v>
      </c>
      <c r="X2" s="290" t="s">
        <v>493</v>
      </c>
      <c r="Y2" s="290" t="s">
        <v>494</v>
      </c>
      <c r="Z2" s="290" t="s">
        <v>495</v>
      </c>
      <c r="AB2" s="374"/>
      <c r="AC2" s="374" t="s">
        <v>80</v>
      </c>
      <c r="AD2" s="290" t="s">
        <v>498</v>
      </c>
      <c r="AE2" s="369" t="s">
        <v>492</v>
      </c>
      <c r="AF2" s="369" t="s">
        <v>493</v>
      </c>
      <c r="AG2" s="369" t="s">
        <v>494</v>
      </c>
      <c r="AH2" s="369" t="s">
        <v>495</v>
      </c>
    </row>
    <row r="3" spans="1:35" x14ac:dyDescent="0.3">
      <c r="A3" s="3" t="s">
        <v>261</v>
      </c>
      <c r="B3" s="3" t="s">
        <v>507</v>
      </c>
      <c r="C3" s="148" t="e">
        <f>TonnageImpacts!C6</f>
        <v>#N/A</v>
      </c>
      <c r="D3" s="148" t="e">
        <f>TonnageImpacts!D6</f>
        <v>#N/A</v>
      </c>
      <c r="E3" s="148" t="e">
        <f>TonnageImpacts!E6</f>
        <v>#N/A</v>
      </c>
      <c r="F3" s="148" t="e">
        <f>TonnageImpacts!F6</f>
        <v>#N/A</v>
      </c>
      <c r="G3" s="148" t="e">
        <f>TonnageImpacts!G6</f>
        <v>#N/A</v>
      </c>
      <c r="H3" s="148" t="e">
        <f>TonnageImpacts!H6</f>
        <v>#N/A</v>
      </c>
      <c r="I3" s="148" t="e">
        <f>TonnageImpacts!I6</f>
        <v>#N/A</v>
      </c>
      <c r="K3" s="3" t="str">
        <f t="shared" si="0"/>
        <v>Number of HHs</v>
      </c>
      <c r="L3" s="3" t="str">
        <f t="shared" si="0"/>
        <v>TonnageImpacts</v>
      </c>
      <c r="M3" s="3" t="e">
        <f>C3</f>
        <v>#N/A</v>
      </c>
      <c r="N3" s="3" t="e">
        <f t="shared" si="0"/>
        <v>#N/A</v>
      </c>
      <c r="O3" s="3" t="e">
        <f t="shared" si="0"/>
        <v>#N/A</v>
      </c>
      <c r="P3" s="3" t="e">
        <f t="shared" si="0"/>
        <v>#N/A</v>
      </c>
      <c r="Q3" s="3" t="e">
        <f t="shared" si="0"/>
        <v>#N/A</v>
      </c>
      <c r="R3" s="3" t="e">
        <f t="shared" si="0"/>
        <v>#N/A</v>
      </c>
      <c r="S3" s="3" t="e">
        <f t="shared" si="0"/>
        <v>#N/A</v>
      </c>
      <c r="U3" s="3" t="str">
        <f t="shared" si="0"/>
        <v>Number of HHs</v>
      </c>
      <c r="V3" s="266" t="e">
        <f>TonnageImpacts!K6</f>
        <v>#N/A</v>
      </c>
      <c r="W3" s="266" t="e">
        <f>TonnageImpacts!L6</f>
        <v>#N/A</v>
      </c>
      <c r="X3" s="266" t="e">
        <f>TonnageImpacts!M6</f>
        <v>#N/A</v>
      </c>
      <c r="Y3" s="266" t="e">
        <f>TonnageImpacts!N6</f>
        <v>#N/A</v>
      </c>
      <c r="Z3" s="266" t="e">
        <f>TonnageImpacts!O6</f>
        <v>#N/A</v>
      </c>
      <c r="AA3" s="1" t="s">
        <v>490</v>
      </c>
      <c r="AB3" s="3" t="str">
        <f t="shared" ref="AB3:AB28" si="1">A3</f>
        <v>Number of HHs</v>
      </c>
      <c r="AC3" s="267"/>
      <c r="AD3" s="376" t="e">
        <f t="shared" ref="AD3:AH5" si="2">V3</f>
        <v>#N/A</v>
      </c>
      <c r="AE3" s="266" t="e">
        <f>W3</f>
        <v>#N/A</v>
      </c>
      <c r="AF3" s="266" t="e">
        <f t="shared" si="2"/>
        <v>#N/A</v>
      </c>
      <c r="AG3" s="266" t="e">
        <f t="shared" si="2"/>
        <v>#N/A</v>
      </c>
      <c r="AH3" s="266" t="e">
        <f t="shared" si="2"/>
        <v>#N/A</v>
      </c>
      <c r="AI3" s="1" t="s">
        <v>490</v>
      </c>
    </row>
    <row r="4" spans="1:35" x14ac:dyDescent="0.3">
      <c r="A4" s="3" t="s">
        <v>289</v>
      </c>
      <c r="B4" s="3" t="s">
        <v>263</v>
      </c>
      <c r="C4" s="148" t="e">
        <f>ROUNDUP((C3*VLOOKUP(Input!C16,DropDowns_LookUps!$A$42:$H$45,8,FALSE)/52)/(Rollofff_Density*Rollofff_Utilization_Factor*Rolloff_Capacity),0)</f>
        <v>#N/A</v>
      </c>
      <c r="D4" s="148" t="e">
        <f>D3/2</f>
        <v>#N/A</v>
      </c>
      <c r="E4" s="148" t="e">
        <f>E3*1</f>
        <v>#N/A</v>
      </c>
      <c r="F4" s="148" t="e">
        <f>F3*2/2</f>
        <v>#N/A</v>
      </c>
      <c r="G4" s="148" t="e">
        <f>G3*2</f>
        <v>#N/A</v>
      </c>
      <c r="H4" s="148" t="e">
        <f>H3/2</f>
        <v>#N/A</v>
      </c>
      <c r="I4" s="148" t="e">
        <f>I3*1</f>
        <v>#N/A</v>
      </c>
      <c r="K4" s="3" t="str">
        <f t="shared" si="0"/>
        <v>Number of stops / week</v>
      </c>
      <c r="L4" s="3" t="str">
        <f t="shared" si="0"/>
        <v>Calc</v>
      </c>
      <c r="M4" s="26" t="e">
        <f>C4</f>
        <v>#N/A</v>
      </c>
      <c r="N4" s="3" t="e">
        <f t="shared" si="0"/>
        <v>#N/A</v>
      </c>
      <c r="O4" s="3" t="e">
        <f t="shared" si="0"/>
        <v>#N/A</v>
      </c>
      <c r="P4" s="3" t="e">
        <f t="shared" si="0"/>
        <v>#N/A</v>
      </c>
      <c r="Q4" s="3" t="e">
        <f t="shared" si="0"/>
        <v>#N/A</v>
      </c>
      <c r="R4" s="3" t="e">
        <f t="shared" si="0"/>
        <v>#N/A</v>
      </c>
      <c r="S4" s="3" t="e">
        <f t="shared" si="0"/>
        <v>#N/A</v>
      </c>
      <c r="U4" s="9" t="s">
        <v>263</v>
      </c>
      <c r="V4" s="291"/>
      <c r="W4" s="259" t="e">
        <f>W3*1</f>
        <v>#N/A</v>
      </c>
      <c r="X4" s="259" t="e">
        <f>X3*1</f>
        <v>#N/A</v>
      </c>
      <c r="Y4" s="259" t="e">
        <f t="shared" ref="Y4:Z4" si="3">Y3*1</f>
        <v>#N/A</v>
      </c>
      <c r="Z4" s="259" t="e">
        <f t="shared" si="3"/>
        <v>#N/A</v>
      </c>
      <c r="AA4" s="1" t="s">
        <v>490</v>
      </c>
      <c r="AB4" s="3" t="str">
        <f t="shared" si="1"/>
        <v>Number of stops / week</v>
      </c>
      <c r="AC4" s="267"/>
      <c r="AD4" s="375">
        <f t="shared" si="2"/>
        <v>0</v>
      </c>
      <c r="AE4" s="259" t="e">
        <f t="shared" si="2"/>
        <v>#N/A</v>
      </c>
      <c r="AF4" s="259" t="e">
        <f t="shared" si="2"/>
        <v>#N/A</v>
      </c>
      <c r="AG4" s="259" t="e">
        <f t="shared" si="2"/>
        <v>#N/A</v>
      </c>
      <c r="AH4" s="259" t="e">
        <f t="shared" si="2"/>
        <v>#N/A</v>
      </c>
      <c r="AI4" s="1" t="s">
        <v>490</v>
      </c>
    </row>
    <row r="5" spans="1:35" x14ac:dyDescent="0.3">
      <c r="A5" s="3" t="s">
        <v>290</v>
      </c>
      <c r="B5" s="3" t="s">
        <v>264</v>
      </c>
      <c r="C5" s="27">
        <f>AssumptionTables!C22</f>
        <v>5</v>
      </c>
      <c r="D5" s="5" t="e">
        <f>VLOOKUP(Input!$C$12,DropDowns_LookUps!$A$19:$D$24,2,FALSE)</f>
        <v>#N/A</v>
      </c>
      <c r="E5" s="5" t="e">
        <f>VLOOKUP(Input!$C$12,DropDowns_LookUps!$A$19:$D$24,2,FALSE)</f>
        <v>#N/A</v>
      </c>
      <c r="F5" s="5" t="e">
        <f>VLOOKUP(Input!$C$12,DropDowns_LookUps!$A$19:$D$24,4,FALSE)</f>
        <v>#N/A</v>
      </c>
      <c r="G5" s="5" t="e">
        <f>VLOOKUP(Input!$C$12,DropDowns_LookUps!$A$19:$D$24,4,FALSE)</f>
        <v>#N/A</v>
      </c>
      <c r="H5" s="5" t="e">
        <f>VLOOKUP(Input!$C$12,DropDowns_LookUps!$A$19:$D$24,4,FALSE)</f>
        <v>#N/A</v>
      </c>
      <c r="I5" s="5" t="e">
        <f>VLOOKUP(Input!$C$12,DropDowns_LookUps!$A$19:$D$24,4,FALSE)</f>
        <v>#N/A</v>
      </c>
      <c r="K5" s="3" t="str">
        <f t="shared" si="0"/>
        <v>Route Density (stops)</v>
      </c>
      <c r="L5" s="3" t="str">
        <f t="shared" si="0"/>
        <v>Lookup</v>
      </c>
      <c r="M5" s="27">
        <f>C5</f>
        <v>5</v>
      </c>
      <c r="N5" s="5" t="e">
        <f t="shared" si="0"/>
        <v>#N/A</v>
      </c>
      <c r="O5" s="5" t="e">
        <f t="shared" si="0"/>
        <v>#N/A</v>
      </c>
      <c r="P5" s="5" t="e">
        <f t="shared" si="0"/>
        <v>#N/A</v>
      </c>
      <c r="Q5" s="5" t="e">
        <f t="shared" si="0"/>
        <v>#N/A</v>
      </c>
      <c r="R5" s="5" t="e">
        <f t="shared" si="0"/>
        <v>#N/A</v>
      </c>
      <c r="S5" s="5" t="e">
        <f t="shared" si="0"/>
        <v>#N/A</v>
      </c>
      <c r="U5" s="3" t="s">
        <v>264</v>
      </c>
      <c r="V5" s="291"/>
      <c r="W5" s="259" t="e">
        <f>VLOOKUP(Input!$C$12,DropDowns_LookUps!$A$19:$D$24,4,FALSE)</f>
        <v>#N/A</v>
      </c>
      <c r="X5" s="259" t="e">
        <f>VLOOKUP(Input!$C$12,DropDowns_LookUps!$A$19:$D$24,4,FALSE)</f>
        <v>#N/A</v>
      </c>
      <c r="Y5" s="259" t="e">
        <f>VLOOKUP(Input!$C$12,DropDowns_LookUps!$A$19:$D$24,4,FALSE)</f>
        <v>#N/A</v>
      </c>
      <c r="Z5" s="259" t="e">
        <f>VLOOKUP(Input!$C$12,DropDowns_LookUps!$A$19:$D$24,4,FALSE)</f>
        <v>#N/A</v>
      </c>
      <c r="AA5" s="1" t="s">
        <v>490</v>
      </c>
      <c r="AB5" s="3" t="str">
        <f t="shared" si="1"/>
        <v>Route Density (stops)</v>
      </c>
      <c r="AC5" s="267"/>
      <c r="AD5" s="375">
        <f t="shared" si="2"/>
        <v>0</v>
      </c>
      <c r="AE5" s="259" t="e">
        <f t="shared" si="2"/>
        <v>#N/A</v>
      </c>
      <c r="AF5" s="259" t="e">
        <f t="shared" si="2"/>
        <v>#N/A</v>
      </c>
      <c r="AG5" s="259" t="e">
        <f t="shared" si="2"/>
        <v>#N/A</v>
      </c>
      <c r="AH5" s="259" t="e">
        <f t="shared" si="2"/>
        <v>#N/A</v>
      </c>
      <c r="AI5" s="1" t="s">
        <v>490</v>
      </c>
    </row>
    <row r="6" spans="1:35" x14ac:dyDescent="0.3">
      <c r="A6" s="3" t="s">
        <v>291</v>
      </c>
      <c r="B6" s="27" t="s">
        <v>50</v>
      </c>
      <c r="C6" s="27" t="s">
        <v>50</v>
      </c>
      <c r="D6" s="27" t="s">
        <v>50</v>
      </c>
      <c r="E6" s="27" t="s">
        <v>50</v>
      </c>
      <c r="F6" s="27" t="s">
        <v>50</v>
      </c>
      <c r="G6" s="27" t="s">
        <v>50</v>
      </c>
      <c r="H6" s="27" t="s">
        <v>50</v>
      </c>
      <c r="I6" s="27" t="s">
        <v>50</v>
      </c>
      <c r="K6" s="3" t="str">
        <f t="shared" ref="K6:K28" si="4">A6</f>
        <v>Multiplier for Direct Haul</v>
      </c>
      <c r="L6" s="3" t="s">
        <v>264</v>
      </c>
      <c r="M6" s="674" t="e">
        <f>(M5)*VLOOKUP(Input!$C$26,DropDowns_LookUps!$A$65:$F$72,5)</f>
        <v>#N/A</v>
      </c>
      <c r="N6" s="674" t="e">
        <f>(N5)*VLOOKUP(Input!$C$26,DropDowns_LookUps!$A$65:$F$72,5)</f>
        <v>#N/A</v>
      </c>
      <c r="O6" s="5" t="e">
        <f>(O5)*VLOOKUP(Input!$C$26,DropDowns_LookUps!$A$65:$F$72,5)</f>
        <v>#N/A</v>
      </c>
      <c r="P6" s="5" t="e">
        <f>(P5)*VLOOKUP(Input!$C$26,DropDowns_LookUps!$A$65:$F$72,5)</f>
        <v>#N/A</v>
      </c>
      <c r="Q6" s="5" t="e">
        <f>(Q5)*VLOOKUP(Input!$C$26,DropDowns_LookUps!$A$65:$F$72,5)</f>
        <v>#N/A</v>
      </c>
      <c r="R6" s="5" t="e">
        <f>(R5)*VLOOKUP(Input!$C$26,DropDowns_LookUps!$A$65:$F$72,5)</f>
        <v>#N/A</v>
      </c>
      <c r="S6" s="5" t="e">
        <f>(S5)*VLOOKUP(Input!$C$26,DropDowns_LookUps!$A$65:$F$72,5)</f>
        <v>#N/A</v>
      </c>
      <c r="U6" s="3"/>
      <c r="V6" s="259" t="s">
        <v>50</v>
      </c>
      <c r="W6" s="259" t="s">
        <v>50</v>
      </c>
      <c r="X6" s="259" t="s">
        <v>50</v>
      </c>
      <c r="Y6" s="259" t="s">
        <v>50</v>
      </c>
      <c r="Z6" s="259" t="s">
        <v>50</v>
      </c>
      <c r="AA6" s="1" t="s">
        <v>490</v>
      </c>
      <c r="AB6" s="3" t="str">
        <f t="shared" si="1"/>
        <v>Multiplier for Direct Haul</v>
      </c>
      <c r="AC6" s="267"/>
      <c r="AD6" s="377"/>
      <c r="AE6" s="367" t="e">
        <f>(AE5)*VLOOKUP(Input!$C$40,DropDowns_LookUps!$A$65:$F$72,5)</f>
        <v>#N/A</v>
      </c>
      <c r="AF6" s="367" t="e">
        <f>(AF5)*VLOOKUP(Input!$C$40,DropDowns_LookUps!$A$65:$F$72,5)</f>
        <v>#N/A</v>
      </c>
      <c r="AG6" s="367" t="e">
        <f>(AG5)*VLOOKUP(Input!$C$40,DropDowns_LookUps!$A$65:$F$72,5)</f>
        <v>#N/A</v>
      </c>
      <c r="AH6" s="367" t="e">
        <f>(AH5)*VLOOKUP(Input!$C$40,DropDowns_LookUps!$A$65:$F$72,5)</f>
        <v>#N/A</v>
      </c>
      <c r="AI6" s="1" t="s">
        <v>490</v>
      </c>
    </row>
    <row r="7" spans="1:35" x14ac:dyDescent="0.3">
      <c r="A7" s="3" t="s">
        <v>292</v>
      </c>
      <c r="B7" s="3" t="s">
        <v>263</v>
      </c>
      <c r="C7" s="85" t="e">
        <f>C4/C5</f>
        <v>#N/A</v>
      </c>
      <c r="D7" s="5" t="e">
        <f>D4/D5</f>
        <v>#N/A</v>
      </c>
      <c r="E7" s="5" t="e">
        <f t="shared" ref="E7:H7" si="5">E4/E5</f>
        <v>#N/A</v>
      </c>
      <c r="F7" s="5" t="e">
        <f>F4/F5</f>
        <v>#N/A</v>
      </c>
      <c r="G7" s="5" t="e">
        <f t="shared" si="5"/>
        <v>#N/A</v>
      </c>
      <c r="H7" s="5" t="e">
        <f t="shared" si="5"/>
        <v>#N/A</v>
      </c>
      <c r="I7" s="5" t="e">
        <f>I4/I5</f>
        <v>#N/A</v>
      </c>
      <c r="K7" s="3" t="str">
        <f t="shared" si="4"/>
        <v>Number of Routes</v>
      </c>
      <c r="L7" s="3" t="str">
        <f t="shared" ref="L7:L28" si="6">B7</f>
        <v>Calc</v>
      </c>
      <c r="M7" s="674" t="e">
        <f>M4/M6</f>
        <v>#N/A</v>
      </c>
      <c r="N7" s="5" t="e">
        <f>N4/N6</f>
        <v>#N/A</v>
      </c>
      <c r="O7" s="5" t="e">
        <f t="shared" ref="O7:R7" si="7">O4/O6</f>
        <v>#N/A</v>
      </c>
      <c r="P7" s="5" t="e">
        <f t="shared" si="7"/>
        <v>#N/A</v>
      </c>
      <c r="Q7" s="5" t="e">
        <f t="shared" si="7"/>
        <v>#N/A</v>
      </c>
      <c r="R7" s="5" t="e">
        <f t="shared" si="7"/>
        <v>#N/A</v>
      </c>
      <c r="S7" s="5" t="e">
        <f>S4/S6</f>
        <v>#N/A</v>
      </c>
      <c r="U7" s="3" t="s">
        <v>263</v>
      </c>
      <c r="V7" s="291"/>
      <c r="W7" s="367" t="e">
        <f>W4/W5</f>
        <v>#N/A</v>
      </c>
      <c r="X7" s="367" t="e">
        <f>X4/X5</f>
        <v>#N/A</v>
      </c>
      <c r="Y7" s="367" t="e">
        <f>Y4/Y5</f>
        <v>#N/A</v>
      </c>
      <c r="Z7" s="367" t="e">
        <f t="shared" ref="Z7" si="8">Z4/Z5</f>
        <v>#N/A</v>
      </c>
      <c r="AB7" s="3" t="str">
        <f t="shared" si="1"/>
        <v>Number of Routes</v>
      </c>
      <c r="AC7" s="267"/>
      <c r="AD7" s="375">
        <f>AD4/5</f>
        <v>0</v>
      </c>
      <c r="AE7" s="367" t="e">
        <f>AE4/AE6</f>
        <v>#N/A</v>
      </c>
      <c r="AF7" s="367" t="e">
        <f>AF4/AF6</f>
        <v>#N/A</v>
      </c>
      <c r="AG7" s="367" t="e">
        <f>AG4/AG6</f>
        <v>#N/A</v>
      </c>
      <c r="AH7" s="367" t="e">
        <f>AH4/AH6</f>
        <v>#N/A</v>
      </c>
      <c r="AI7" s="1" t="s">
        <v>490</v>
      </c>
    </row>
    <row r="8" spans="1:35" x14ac:dyDescent="0.3">
      <c r="A8" s="3" t="s">
        <v>505</v>
      </c>
      <c r="B8" s="3" t="s">
        <v>263</v>
      </c>
      <c r="C8" s="5" t="e">
        <f>C7/AssumptionTables!$C$25</f>
        <v>#N/A</v>
      </c>
      <c r="D8" s="5" t="e">
        <f>D7/AssumptionTables!$C$25</f>
        <v>#N/A</v>
      </c>
      <c r="E8" s="5" t="e">
        <f>E7/AssumptionTables!$C$25</f>
        <v>#N/A</v>
      </c>
      <c r="F8" s="5" t="e">
        <f>F7/AssumptionTables!$C$25</f>
        <v>#N/A</v>
      </c>
      <c r="G8" s="5" t="e">
        <f>G7/AssumptionTables!$C$25</f>
        <v>#N/A</v>
      </c>
      <c r="H8" s="5" t="e">
        <f>H7/AssumptionTables!$C$25</f>
        <v>#N/A</v>
      </c>
      <c r="I8" s="5" t="e">
        <f>I7/AssumptionTables!$C$25</f>
        <v>#N/A</v>
      </c>
      <c r="K8" s="3" t="str">
        <f t="shared" si="4"/>
        <v>Number of Route/Days</v>
      </c>
      <c r="L8" s="3" t="str">
        <f t="shared" si="6"/>
        <v>Calc</v>
      </c>
      <c r="M8" s="5" t="e">
        <f>M7/5</f>
        <v>#N/A</v>
      </c>
      <c r="N8" s="5" t="e">
        <f>N7/5</f>
        <v>#N/A</v>
      </c>
      <c r="O8" s="5" t="e">
        <f t="shared" ref="O8:S8" si="9">O7/5</f>
        <v>#N/A</v>
      </c>
      <c r="P8" s="5" t="e">
        <f t="shared" si="9"/>
        <v>#N/A</v>
      </c>
      <c r="Q8" s="5" t="e">
        <f t="shared" si="9"/>
        <v>#N/A</v>
      </c>
      <c r="R8" s="5" t="e">
        <f t="shared" si="9"/>
        <v>#N/A</v>
      </c>
      <c r="S8" s="5" t="e">
        <f t="shared" si="9"/>
        <v>#N/A</v>
      </c>
      <c r="U8" s="3" t="s">
        <v>263</v>
      </c>
      <c r="V8" s="259">
        <f>V7/5</f>
        <v>0</v>
      </c>
      <c r="W8" s="367" t="e">
        <f>W7/5</f>
        <v>#N/A</v>
      </c>
      <c r="X8" s="367" t="e">
        <f t="shared" ref="X8:Y8" si="10">X7/5</f>
        <v>#N/A</v>
      </c>
      <c r="Y8" s="367" t="e">
        <f t="shared" si="10"/>
        <v>#N/A</v>
      </c>
      <c r="Z8" s="367" t="e">
        <f>Z7/5</f>
        <v>#N/A</v>
      </c>
      <c r="AA8" s="1" t="s">
        <v>490</v>
      </c>
      <c r="AB8" s="3" t="str">
        <f t="shared" si="1"/>
        <v>Number of Route/Days</v>
      </c>
      <c r="AC8" s="267"/>
      <c r="AD8" s="375">
        <f>AD7/5</f>
        <v>0</v>
      </c>
      <c r="AE8" s="367" t="e">
        <f>AE7/5</f>
        <v>#N/A</v>
      </c>
      <c r="AF8" s="367" t="e">
        <f>AF7/5</f>
        <v>#N/A</v>
      </c>
      <c r="AG8" s="367" t="e">
        <f>AG7/5</f>
        <v>#N/A</v>
      </c>
      <c r="AH8" s="367" t="e">
        <f>AH7/5</f>
        <v>#N/A</v>
      </c>
      <c r="AI8" s="1" t="s">
        <v>490</v>
      </c>
    </row>
    <row r="9" spans="1:35" x14ac:dyDescent="0.3">
      <c r="A9" s="3" t="s">
        <v>293</v>
      </c>
      <c r="B9" s="3" t="s">
        <v>294</v>
      </c>
      <c r="C9" s="5" t="e">
        <f>IF(C8&lt;1,1,IF((C8)-(ROUNDDOWN(C8,0))&gt;AssumptionTables!$C$19,ROUNDUP(C8,0),ROUNDDOWN(C8,0)))</f>
        <v>#N/A</v>
      </c>
      <c r="D9" s="5" t="e">
        <f>IF(D8&lt;1,1,IF((D8)-(ROUNDDOWN(D8,0))&gt;AssumptionTables!$C$19,ROUNDUP(D8,0),ROUNDDOWN(D8,0)))</f>
        <v>#N/A</v>
      </c>
      <c r="E9" s="5" t="e">
        <f>IF(E8&lt;1,1,IF((E8)-(ROUNDDOWN(E8,0))&gt;AssumptionTables!$C$19,ROUNDUP(E8,0),ROUNDDOWN(E8,0)))</f>
        <v>#N/A</v>
      </c>
      <c r="F9" s="5" t="e">
        <f>IF(F8&lt;1,1,IF((F8)-(ROUNDDOWN(F8,0))&gt;AssumptionTables!$C$19,ROUNDUP(F8,0),ROUNDDOWN(F8,0)))</f>
        <v>#N/A</v>
      </c>
      <c r="G9" s="5" t="e">
        <f>IF(G8&lt;1,1,IF((G8)-(ROUNDDOWN(G8,0))&gt;AssumptionTables!$C$19,ROUNDUP(G8,0),ROUNDDOWN(G8,0)))</f>
        <v>#N/A</v>
      </c>
      <c r="H9" s="5" t="e">
        <f>IF(H8&lt;1,1,IF((H8)-(ROUNDDOWN(H8,0))&gt;AssumptionTables!$C$19,ROUNDUP(H8,0),ROUNDDOWN(H8,0)))</f>
        <v>#N/A</v>
      </c>
      <c r="I9" s="5" t="e">
        <f>IF(I8&lt;1,1,IF((I8)-(ROUNDDOWN(I8,0))&gt;AssumptionTables!$C$19,ROUNDUP(I8,0),ROUNDDOWN(I8,0)))</f>
        <v>#N/A</v>
      </c>
      <c r="K9" s="3" t="str">
        <f t="shared" si="4"/>
        <v>Number of Trucks for Routes</v>
      </c>
      <c r="L9" s="3" t="str">
        <f t="shared" si="6"/>
        <v>Calc / Assumption</v>
      </c>
      <c r="M9" s="745" t="e">
        <f>IF(M8&lt;1,1,IF((M8)-(ROUNDDOWN(M8,0))&gt;AssumptionTables!$C$19,ROUNDUP(M8,0),ROUNDDOWN(M8,0)))</f>
        <v>#N/A</v>
      </c>
      <c r="N9" s="745" t="e">
        <f>IF(N8&lt;1,1,IF((N8)-(ROUNDDOWN(N8,0))&gt;AssumptionTables!$C$19,ROUNDUP(N8,0),ROUNDDOWN(N8,0)))</f>
        <v>#N/A</v>
      </c>
      <c r="O9" s="745" t="e">
        <f>IF(O8&lt;1,1,IF((O8)-(ROUNDDOWN(O8,0))&gt;AssumptionTables!$C$19,ROUNDUP(O8,0),ROUNDDOWN(O8,0)))</f>
        <v>#N/A</v>
      </c>
      <c r="P9" s="745" t="e">
        <f>IF(P8&lt;1,1,IF((P8)-(ROUNDDOWN(P8,0))&gt;AssumptionTables!$C$19,ROUNDUP(P8,0),ROUNDDOWN(P8,0)))</f>
        <v>#N/A</v>
      </c>
      <c r="Q9" s="745" t="e">
        <f>IF(Q8&lt;1,1,IF((Q8)-(ROUNDDOWN(Q8,0))&gt;AssumptionTables!$C$19,ROUNDUP(Q8,0),ROUNDDOWN(Q8,0)))</f>
        <v>#N/A</v>
      </c>
      <c r="R9" s="745" t="e">
        <f>IF(R8&lt;1,1,IF((R8)-(ROUNDDOWN(R8,0))&gt;AssumptionTables!$C$19,ROUNDUP(R8,0),ROUNDDOWN(R8,0)))</f>
        <v>#N/A</v>
      </c>
      <c r="S9" s="745" t="e">
        <f>IF(S8&lt;1,1,IF((S8)-(ROUNDDOWN(S8,0))&gt;AssumptionTables!$C$19,ROUNDUP(S8,0),ROUNDDOWN(S8,0)))</f>
        <v>#N/A</v>
      </c>
      <c r="U9" s="3" t="s">
        <v>294</v>
      </c>
      <c r="V9" s="259">
        <f>IF(V8&lt;1,1,IF((V8)-(ROUNDDOWN(V8,0))&gt;AssumptionTables!$C$19,ROUNDUP(V8,0),ROUNDDOWN(V8,0)))</f>
        <v>1</v>
      </c>
      <c r="W9" s="259" t="e">
        <f>IF(W8&lt;1,1,IF((W8)-(ROUNDDOWN(W8,0))&gt;AssumptionTables!$C$19,ROUNDUP(W8,0),ROUNDDOWN(W8,0)))</f>
        <v>#N/A</v>
      </c>
      <c r="X9" s="259" t="e">
        <f>IF(X8&lt;1,1,IF((X8)-(ROUNDDOWN(X8,0))&gt;AssumptionTables!$C$19,ROUNDUP(X8,0),ROUNDDOWN(X8,0)))</f>
        <v>#N/A</v>
      </c>
      <c r="Y9" s="259" t="e">
        <f>IF(Y8&lt;1,1,IF((Y8)-(ROUNDDOWN(Y8,0))&gt;AssumptionTables!$C$19,ROUNDUP(Y8,0),ROUNDDOWN(Y8,0)))</f>
        <v>#N/A</v>
      </c>
      <c r="Z9" s="259" t="e">
        <f>IF(Z8&lt;1,1,IF((Z8)-(ROUNDDOWN(Z8,0))&gt;AssumptionTables!$C$19,ROUNDUP(Z8,0),ROUNDDOWN(Z8,0)))</f>
        <v>#N/A</v>
      </c>
      <c r="AA9" s="1" t="s">
        <v>490</v>
      </c>
      <c r="AB9" s="3" t="str">
        <f t="shared" si="1"/>
        <v>Number of Trucks for Routes</v>
      </c>
      <c r="AC9" s="267"/>
      <c r="AD9" s="375">
        <f>IF(AD8&lt;1,1,IF((AD8)-(ROUNDDOWN(AD8,0))&gt;AssumptionTables!$C$19,ROUNDUP(AD8,0),ROUNDDOWN(AD8,0)))</f>
        <v>1</v>
      </c>
      <c r="AE9" s="259" t="e">
        <f>IF(AE8&lt;1,1,IF((AE8)-(ROUNDDOWN(AE8,0))&gt;AssumptionTables!$C$19,ROUNDUP(AE8,0),ROUNDDOWN(AE8,0)))</f>
        <v>#N/A</v>
      </c>
      <c r="AF9" s="259" t="e">
        <f>IF(AF8&lt;1,1,IF((AF8)-(ROUNDDOWN(AF8,0))&gt;AssumptionTables!$C$19,ROUNDUP(AF8,0),ROUNDDOWN(AF8,0)))</f>
        <v>#N/A</v>
      </c>
      <c r="AG9" s="259" t="e">
        <f>IF(AG8&lt;1,1,IF((AG8)-(ROUNDDOWN(AG8,0))&gt;AssumptionTables!$C$19,ROUNDUP(AG8,0),ROUNDDOWN(AG8,0)))</f>
        <v>#N/A</v>
      </c>
      <c r="AH9" s="259" t="e">
        <f>IF(AH8&lt;1,1,IF((AH8)-(ROUNDDOWN(AH8,0))&gt;AssumptionTables!$C$19,ROUNDUP(AH8,0),ROUNDDOWN(AH8,0)))</f>
        <v>#N/A</v>
      </c>
      <c r="AI9" s="1" t="s">
        <v>490</v>
      </c>
    </row>
    <row r="10" spans="1:35" x14ac:dyDescent="0.3">
      <c r="A10" s="3" t="s">
        <v>295</v>
      </c>
      <c r="B10" s="3" t="s">
        <v>294</v>
      </c>
      <c r="C10" s="5" t="e">
        <f>IF(C9&lt;AssumptionTables!$C$20,0,ROUNDDOWN(C9/AssumptionTables!$C$20,0))</f>
        <v>#N/A</v>
      </c>
      <c r="D10" s="5" t="e">
        <f>IF(D9&lt;AssumptionTables!$C$20,0,ROUNDDOWN(D9/AssumptionTables!$C$20,0))</f>
        <v>#N/A</v>
      </c>
      <c r="E10" s="5" t="e">
        <f>IF(E9&lt;AssumptionTables!$C$20,0,ROUNDDOWN(E9/AssumptionTables!$C$20,0))</f>
        <v>#N/A</v>
      </c>
      <c r="F10" s="5" t="e">
        <f>IF(F9&lt;AssumptionTables!$C$20,0,ROUNDDOWN(F9/AssumptionTables!$C$20,0))</f>
        <v>#N/A</v>
      </c>
      <c r="G10" s="5" t="e">
        <f>IF(G9&lt;AssumptionTables!$C$20,0,ROUNDDOWN(G9/AssumptionTables!$C$20,0))</f>
        <v>#N/A</v>
      </c>
      <c r="H10" s="5" t="e">
        <f>IF(H9&lt;AssumptionTables!$C$20,0,ROUNDDOWN(H9/AssumptionTables!$C$20,0))</f>
        <v>#N/A</v>
      </c>
      <c r="I10" s="5" t="e">
        <f>IF(I9&lt;AssumptionTables!$C$20,0,ROUNDDOWN(I9/AssumptionTables!$C$20,0))</f>
        <v>#N/A</v>
      </c>
      <c r="K10" s="3" t="str">
        <f t="shared" si="4"/>
        <v>Number of Back up Trucks</v>
      </c>
      <c r="L10" s="3" t="str">
        <f t="shared" si="6"/>
        <v>Calc / Assumption</v>
      </c>
      <c r="M10" s="11" t="e">
        <f>IF(M9&lt;AssumptionTables!$C$20,0,ROUNDDOWN(M9/AssumptionTables!$C$20,0))</f>
        <v>#N/A</v>
      </c>
      <c r="N10" s="11" t="e">
        <f>IF(N9&lt;AssumptionTables!$C$20,0,ROUNDDOWN(N9/AssumptionTables!$C$20,0))</f>
        <v>#N/A</v>
      </c>
      <c r="O10" s="11" t="e">
        <f>IF(O9&lt;AssumptionTables!$C$20,0,ROUNDDOWN(O9/AssumptionTables!$C$20,0))</f>
        <v>#N/A</v>
      </c>
      <c r="P10" s="11" t="e">
        <f>IF(P9&lt;AssumptionTables!$C$20,0,ROUNDDOWN(P9/AssumptionTables!$C$20,0))</f>
        <v>#N/A</v>
      </c>
      <c r="Q10" s="11" t="e">
        <f>IF(Q9&lt;AssumptionTables!$C$20,0,ROUNDDOWN(Q9/AssumptionTables!$C$20,0))</f>
        <v>#N/A</v>
      </c>
      <c r="R10" s="11" t="e">
        <f>IF(R9&lt;AssumptionTables!$C$20,0,ROUNDDOWN(R9/AssumptionTables!$C$20,0))</f>
        <v>#N/A</v>
      </c>
      <c r="S10" s="11" t="e">
        <f>IF(S9&lt;AssumptionTables!$C$20,0,ROUNDDOWN(S9/AssumptionTables!$C$20,0))</f>
        <v>#N/A</v>
      </c>
      <c r="U10" s="3" t="s">
        <v>294</v>
      </c>
      <c r="V10" s="259">
        <f>IF(V9&lt;AssumptionTables!$C$20,0,ROUNDDOWN(V9/AssumptionTables!$C$20,0))</f>
        <v>0</v>
      </c>
      <c r="W10" s="259" t="e">
        <f>IF(W9&lt;AssumptionTables!$C$20,0,ROUNDDOWN(W9/AssumptionTables!$C$20,0))</f>
        <v>#N/A</v>
      </c>
      <c r="X10" s="259" t="e">
        <f>IF(X9&lt;AssumptionTables!$C$20,0,ROUNDDOWN(X9/AssumptionTables!$C$20,0))</f>
        <v>#N/A</v>
      </c>
      <c r="Y10" s="259" t="e">
        <f>IF(Y9&lt;AssumptionTables!$C$20,0,ROUNDDOWN(Y9/AssumptionTables!$C$20,0))</f>
        <v>#N/A</v>
      </c>
      <c r="Z10" s="259" t="e">
        <f>IF(Z9&lt;AssumptionTables!$C$20,0,ROUNDDOWN(Z9/AssumptionTables!$C$20,0))</f>
        <v>#N/A</v>
      </c>
      <c r="AA10" s="1" t="s">
        <v>490</v>
      </c>
      <c r="AB10" s="3" t="str">
        <f t="shared" si="1"/>
        <v>Number of Back up Trucks</v>
      </c>
      <c r="AC10" s="267"/>
      <c r="AD10" s="375">
        <f>IF(AD9&lt;AssumptionTables!$C$20,0,ROUNDDOWN(AD9/AssumptionTables!$C$20,0))</f>
        <v>0</v>
      </c>
      <c r="AE10" s="259" t="e">
        <f>IF(AE9&lt;AssumptionTables!$C$20,0,ROUNDDOWN(AE9/AssumptionTables!$C$20,0))</f>
        <v>#N/A</v>
      </c>
      <c r="AF10" s="259" t="e">
        <f>IF(AF9&lt;AssumptionTables!$C$20,0,ROUNDDOWN(AF9/AssumptionTables!$C$20,0))</f>
        <v>#N/A</v>
      </c>
      <c r="AG10" s="259" t="e">
        <f>IF(AG9&lt;AssumptionTables!$C$20,0,ROUNDDOWN(AG9/AssumptionTables!$C$20,0))</f>
        <v>#N/A</v>
      </c>
      <c r="AH10" s="259" t="e">
        <f>IF(AH9&lt;AssumptionTables!$C$20,0,ROUNDDOWN(AH9/AssumptionTables!$C$20,0))</f>
        <v>#N/A</v>
      </c>
      <c r="AI10" s="1" t="s">
        <v>490</v>
      </c>
    </row>
    <row r="11" spans="1:35" x14ac:dyDescent="0.3">
      <c r="A11" s="3" t="s">
        <v>296</v>
      </c>
      <c r="B11" s="3" t="s">
        <v>263</v>
      </c>
      <c r="C11" s="5" t="e">
        <f>C9+C10</f>
        <v>#N/A</v>
      </c>
      <c r="D11" s="5" t="e">
        <f>D9+D10</f>
        <v>#N/A</v>
      </c>
      <c r="E11" s="5" t="e">
        <f t="shared" ref="E11:H11" si="11">E9+E10</f>
        <v>#N/A</v>
      </c>
      <c r="F11" s="5" t="e">
        <f t="shared" si="11"/>
        <v>#N/A</v>
      </c>
      <c r="G11" s="5" t="e">
        <f t="shared" si="11"/>
        <v>#N/A</v>
      </c>
      <c r="H11" s="5" t="e">
        <f t="shared" si="11"/>
        <v>#N/A</v>
      </c>
      <c r="I11" s="5" t="e">
        <f>I9+I10</f>
        <v>#N/A</v>
      </c>
      <c r="K11" s="3" t="str">
        <f t="shared" si="4"/>
        <v>Total Number of Trucks</v>
      </c>
      <c r="L11" s="3" t="str">
        <f t="shared" si="6"/>
        <v>Calc</v>
      </c>
      <c r="M11" s="16" t="e">
        <f>M9+M10</f>
        <v>#N/A</v>
      </c>
      <c r="N11" s="16" t="e">
        <f>N9+N10</f>
        <v>#N/A</v>
      </c>
      <c r="O11" s="16" t="e">
        <f>O9+O10</f>
        <v>#N/A</v>
      </c>
      <c r="P11" s="16" t="e">
        <f t="shared" ref="P11:S11" si="12">P9+P10</f>
        <v>#N/A</v>
      </c>
      <c r="Q11" s="16" t="e">
        <f t="shared" si="12"/>
        <v>#N/A</v>
      </c>
      <c r="R11" s="16" t="e">
        <f t="shared" si="12"/>
        <v>#N/A</v>
      </c>
      <c r="S11" s="16" t="e">
        <f t="shared" si="12"/>
        <v>#N/A</v>
      </c>
      <c r="U11" s="3" t="s">
        <v>263</v>
      </c>
      <c r="V11" s="259">
        <f>V9+V10</f>
        <v>1</v>
      </c>
      <c r="W11" s="259" t="e">
        <f>W9+W10</f>
        <v>#N/A</v>
      </c>
      <c r="X11" s="259" t="e">
        <f>X9+X10</f>
        <v>#N/A</v>
      </c>
      <c r="Y11" s="259" t="e">
        <f>Y9+Y10</f>
        <v>#N/A</v>
      </c>
      <c r="Z11" s="259" t="e">
        <f t="shared" ref="Z11" si="13">Z9+Z10</f>
        <v>#N/A</v>
      </c>
      <c r="AA11" s="1" t="s">
        <v>490</v>
      </c>
      <c r="AB11" s="3" t="str">
        <f t="shared" si="1"/>
        <v>Total Number of Trucks</v>
      </c>
      <c r="AC11" s="267"/>
      <c r="AD11" s="375">
        <f>AD9+AD10</f>
        <v>1</v>
      </c>
      <c r="AE11" s="259" t="e">
        <f>AE9+AE10</f>
        <v>#N/A</v>
      </c>
      <c r="AF11" s="259" t="e">
        <f>AF9+AF10</f>
        <v>#N/A</v>
      </c>
      <c r="AG11" s="259" t="e">
        <f>AG9+AG10</f>
        <v>#N/A</v>
      </c>
      <c r="AH11" s="259" t="e">
        <f>AH9+AH10</f>
        <v>#N/A</v>
      </c>
      <c r="AI11" s="1" t="s">
        <v>490</v>
      </c>
    </row>
    <row r="12" spans="1:35" x14ac:dyDescent="0.3">
      <c r="A12" s="3" t="s">
        <v>297</v>
      </c>
      <c r="B12" s="3" t="s">
        <v>298</v>
      </c>
      <c r="C12" s="17">
        <f>AssumptionTables!C21</f>
        <v>175000</v>
      </c>
      <c r="D12" s="17">
        <f>AssumptionTables!C23</f>
        <v>275000</v>
      </c>
      <c r="E12" s="17">
        <f>AssumptionTables!C23</f>
        <v>275000</v>
      </c>
      <c r="F12" s="17">
        <f>AssumptionTables!$C$24</f>
        <v>340000</v>
      </c>
      <c r="G12" s="17">
        <f>AssumptionTables!$C$24</f>
        <v>340000</v>
      </c>
      <c r="H12" s="17">
        <f>AssumptionTables!$C$24</f>
        <v>340000</v>
      </c>
      <c r="I12" s="17">
        <f>AssumptionTables!$C$24</f>
        <v>340000</v>
      </c>
      <c r="K12" s="3" t="str">
        <f t="shared" si="4"/>
        <v>Cost per Truck - Capital</v>
      </c>
      <c r="L12" s="3" t="str">
        <f t="shared" si="6"/>
        <v>Assumption</v>
      </c>
      <c r="M12" s="3">
        <f>AssumptionTables!C21</f>
        <v>175000</v>
      </c>
      <c r="N12" s="3">
        <f>AssumptionTables!C23</f>
        <v>275000</v>
      </c>
      <c r="O12" s="3">
        <f>AssumptionTables!C23</f>
        <v>275000</v>
      </c>
      <c r="P12" s="3">
        <f>AssumptionTables!$C$24</f>
        <v>340000</v>
      </c>
      <c r="Q12" s="3">
        <f>AssumptionTables!$C$24</f>
        <v>340000</v>
      </c>
      <c r="R12" s="3">
        <f>AssumptionTables!$C$24</f>
        <v>340000</v>
      </c>
      <c r="S12" s="3">
        <f>AssumptionTables!$C$24</f>
        <v>340000</v>
      </c>
      <c r="U12" s="3" t="s">
        <v>298</v>
      </c>
      <c r="V12" s="289">
        <f>AssumptionTables!C21</f>
        <v>175000</v>
      </c>
      <c r="W12" s="289">
        <f>AssumptionTables!$C$24</f>
        <v>340000</v>
      </c>
      <c r="X12" s="289">
        <f>AssumptionTables!$C$24</f>
        <v>340000</v>
      </c>
      <c r="Y12" s="289">
        <f>AssumptionTables!$C$24</f>
        <v>340000</v>
      </c>
      <c r="Z12" s="289">
        <f>AssumptionTables!$C$24</f>
        <v>340000</v>
      </c>
      <c r="AA12" s="1" t="s">
        <v>595</v>
      </c>
      <c r="AB12" s="3" t="str">
        <f t="shared" si="1"/>
        <v>Cost per Truck - Capital</v>
      </c>
      <c r="AC12" s="267"/>
      <c r="AD12" s="725">
        <f>AssumptionTables!C21</f>
        <v>175000</v>
      </c>
      <c r="AE12" s="289">
        <f>AssumptionTables!$C$24</f>
        <v>340000</v>
      </c>
      <c r="AF12" s="289">
        <f>AssumptionTables!$C$24</f>
        <v>340000</v>
      </c>
      <c r="AG12" s="289">
        <f>AssumptionTables!$C$24</f>
        <v>340000</v>
      </c>
      <c r="AH12" s="289">
        <f>AssumptionTables!$C$24</f>
        <v>340000</v>
      </c>
      <c r="AI12" s="1" t="s">
        <v>490</v>
      </c>
    </row>
    <row r="13" spans="1:35" x14ac:dyDescent="0.3">
      <c r="A13" s="3" t="s">
        <v>299</v>
      </c>
      <c r="B13" s="3" t="s">
        <v>263</v>
      </c>
      <c r="C13" s="17" t="e">
        <f>C11*C12</f>
        <v>#N/A</v>
      </c>
      <c r="D13" s="17" t="e">
        <f>D11*D12</f>
        <v>#N/A</v>
      </c>
      <c r="E13" s="17" t="e">
        <f t="shared" ref="E13:H13" si="14">E11*E12</f>
        <v>#N/A</v>
      </c>
      <c r="F13" s="17" t="e">
        <f t="shared" si="14"/>
        <v>#N/A</v>
      </c>
      <c r="G13" s="17" t="e">
        <f t="shared" si="14"/>
        <v>#N/A</v>
      </c>
      <c r="H13" s="17" t="e">
        <f t="shared" si="14"/>
        <v>#N/A</v>
      </c>
      <c r="I13" s="17" t="e">
        <f>I11*I12</f>
        <v>#N/A</v>
      </c>
      <c r="K13" s="3" t="str">
        <f t="shared" si="4"/>
        <v>Total initial capital Trucks</v>
      </c>
      <c r="L13" s="3" t="str">
        <f t="shared" si="6"/>
        <v>Calc</v>
      </c>
      <c r="M13" s="17" t="e">
        <f>M11*M12</f>
        <v>#N/A</v>
      </c>
      <c r="N13" s="17" t="e">
        <f>N11*N12</f>
        <v>#N/A</v>
      </c>
      <c r="O13" s="17" t="e">
        <f t="shared" ref="O13:R13" si="15">O11*O12</f>
        <v>#N/A</v>
      </c>
      <c r="P13" s="17" t="e">
        <f t="shared" si="15"/>
        <v>#N/A</v>
      </c>
      <c r="Q13" s="17" t="e">
        <f t="shared" si="15"/>
        <v>#N/A</v>
      </c>
      <c r="R13" s="17" t="e">
        <f t="shared" si="15"/>
        <v>#N/A</v>
      </c>
      <c r="S13" s="17" t="e">
        <f>S11*S12</f>
        <v>#N/A</v>
      </c>
      <c r="U13" s="3" t="s">
        <v>263</v>
      </c>
      <c r="V13" s="289">
        <f>V12*V11</f>
        <v>175000</v>
      </c>
      <c r="W13" s="289" t="e">
        <f>W12*W11</f>
        <v>#N/A</v>
      </c>
      <c r="X13" s="289" t="e">
        <f>X12*X11</f>
        <v>#N/A</v>
      </c>
      <c r="Y13" s="289" t="e">
        <f t="shared" ref="Y13" si="16">Y12*Y11</f>
        <v>#N/A</v>
      </c>
      <c r="Z13" s="289" t="e">
        <f>Z12*Z11</f>
        <v>#N/A</v>
      </c>
      <c r="AA13" s="1" t="s">
        <v>490</v>
      </c>
      <c r="AB13" s="3" t="str">
        <f t="shared" si="1"/>
        <v>Total initial capital Trucks</v>
      </c>
      <c r="AC13" s="267"/>
      <c r="AD13" s="725">
        <f>AD12*AD11</f>
        <v>175000</v>
      </c>
      <c r="AE13" s="289" t="e">
        <f>AE12*AE11</f>
        <v>#N/A</v>
      </c>
      <c r="AF13" s="289" t="e">
        <f>AF12*AF11</f>
        <v>#N/A</v>
      </c>
      <c r="AG13" s="289" t="e">
        <f>AG12*AG11</f>
        <v>#N/A</v>
      </c>
      <c r="AH13" s="289" t="e">
        <f>AH12*AH11</f>
        <v>#N/A</v>
      </c>
      <c r="AI13" s="1" t="s">
        <v>490</v>
      </c>
    </row>
    <row r="14" spans="1:35" x14ac:dyDescent="0.3">
      <c r="A14" s="3" t="s">
        <v>300</v>
      </c>
      <c r="B14" s="3" t="s">
        <v>294</v>
      </c>
      <c r="C14" s="17" t="e">
        <f>-PMT(AssumptionTables!$C$18,AssumptionTables!$C$17,TruckCosts!C13)</f>
        <v>#N/A</v>
      </c>
      <c r="D14" s="17" t="e">
        <f>-PMT(AssumptionTables!$C$18,AssumptionTables!$C$17,TruckCosts!D13)</f>
        <v>#N/A</v>
      </c>
      <c r="E14" s="17" t="e">
        <f>-PMT(AssumptionTables!$C$18,AssumptionTables!$C$17,TruckCosts!E13)</f>
        <v>#N/A</v>
      </c>
      <c r="F14" s="17" t="e">
        <f>-PMT(AssumptionTables!$C$18,AssumptionTables!$C$17,TruckCosts!F13)</f>
        <v>#N/A</v>
      </c>
      <c r="G14" s="17" t="e">
        <f>-PMT(AssumptionTables!$C$18,AssumptionTables!$C$17,TruckCosts!G13)</f>
        <v>#N/A</v>
      </c>
      <c r="H14" s="17" t="e">
        <f>-PMT(AssumptionTables!$C$18,AssumptionTables!$C$17,TruckCosts!H13)</f>
        <v>#N/A</v>
      </c>
      <c r="I14" s="17" t="e">
        <f>-PMT(AssumptionTables!$C$18,AssumptionTables!$C$17,TruckCosts!I13)</f>
        <v>#N/A</v>
      </c>
      <c r="K14" s="3" t="str">
        <f t="shared" si="4"/>
        <v>Annual loan payment</v>
      </c>
      <c r="L14" s="3" t="str">
        <f t="shared" si="6"/>
        <v>Calc / Assumption</v>
      </c>
      <c r="M14" s="17" t="e">
        <f>-PMT(AssumptionTables!$C$18,AssumptionTables!$C$17,TruckCosts!M13)</f>
        <v>#N/A</v>
      </c>
      <c r="N14" s="17" t="e">
        <f>-PMT(AssumptionTables!$C$18,AssumptionTables!$C$17,TruckCosts!N13)</f>
        <v>#N/A</v>
      </c>
      <c r="O14" s="17" t="e">
        <f>-PMT(AssumptionTables!$C$18,AssumptionTables!$C$17,TruckCosts!O13)</f>
        <v>#N/A</v>
      </c>
      <c r="P14" s="17" t="e">
        <f>-PMT(AssumptionTables!$C$18,AssumptionTables!$C$17,TruckCosts!P13)</f>
        <v>#N/A</v>
      </c>
      <c r="Q14" s="17" t="e">
        <f>-PMT(AssumptionTables!$C$18,AssumptionTables!$C$17,TruckCosts!Q13)</f>
        <v>#N/A</v>
      </c>
      <c r="R14" s="17" t="e">
        <f>-PMT(AssumptionTables!$C$18,AssumptionTables!$C$17,TruckCosts!R13)</f>
        <v>#N/A</v>
      </c>
      <c r="S14" s="17" t="e">
        <f>-PMT(AssumptionTables!$C$18,AssumptionTables!$C$17,TruckCosts!S13)</f>
        <v>#N/A</v>
      </c>
      <c r="U14" s="3" t="s">
        <v>294</v>
      </c>
      <c r="V14" s="289">
        <f>-PMT(AssumptionTables!$C$18,AssumptionTables!$C$17,TruckCosts!V13)</f>
        <v>28088.611906997594</v>
      </c>
      <c r="W14" s="289" t="e">
        <f>-PMT(AssumptionTables!$C$18,AssumptionTables!$C$17,TruckCosts!W13)</f>
        <v>#N/A</v>
      </c>
      <c r="X14" s="289" t="e">
        <f>-PMT(AssumptionTables!$C$18,AssumptionTables!$C$17,TruckCosts!X13)</f>
        <v>#N/A</v>
      </c>
      <c r="Y14" s="289" t="e">
        <f>-PMT(AssumptionTables!$C$18,AssumptionTables!$C$17,TruckCosts!Y13)</f>
        <v>#N/A</v>
      </c>
      <c r="Z14" s="289" t="e">
        <f>-PMT(AssumptionTables!$C$18,AssumptionTables!$C$17,TruckCosts!Z13)</f>
        <v>#N/A</v>
      </c>
      <c r="AA14" s="1" t="s">
        <v>490</v>
      </c>
      <c r="AB14" s="3" t="str">
        <f t="shared" si="1"/>
        <v>Annual loan payment</v>
      </c>
      <c r="AC14" s="267"/>
      <c r="AD14" s="725">
        <f>-PMT(AssumptionTables!$C$18,AssumptionTables!$C$17,TruckCosts!AD13)</f>
        <v>28088.611906997594</v>
      </c>
      <c r="AE14" s="289" t="e">
        <f>-PMT(AssumptionTables!$C$18,AssumptionTables!$C$17,TruckCosts!AE13)</f>
        <v>#N/A</v>
      </c>
      <c r="AF14" s="289" t="e">
        <f>-PMT(AssumptionTables!$C$18,AssumptionTables!$C$17,TruckCosts!AF13)</f>
        <v>#N/A</v>
      </c>
      <c r="AG14" s="289" t="e">
        <f>-PMT(AssumptionTables!$C$18,AssumptionTables!$C$17,TruckCosts!AG13)</f>
        <v>#N/A</v>
      </c>
      <c r="AH14" s="289" t="e">
        <f>-PMT(AssumptionTables!$C$18,AssumptionTables!$C$17,TruckCosts!AH13)</f>
        <v>#N/A</v>
      </c>
      <c r="AI14" s="1" t="s">
        <v>490</v>
      </c>
    </row>
    <row r="15" spans="1:35" x14ac:dyDescent="0.3">
      <c r="A15" s="3" t="s">
        <v>301</v>
      </c>
      <c r="B15" s="3" t="s">
        <v>263</v>
      </c>
      <c r="C15" s="17" t="e">
        <f>C14*AssumptionTables!$C17</f>
        <v>#N/A</v>
      </c>
      <c r="D15" s="17" t="e">
        <f>D14*AssumptionTables!$C17</f>
        <v>#N/A</v>
      </c>
      <c r="E15" s="17" t="e">
        <f>E14*AssumptionTables!$C17</f>
        <v>#N/A</v>
      </c>
      <c r="F15" s="17" t="e">
        <f>F14*AssumptionTables!$C17</f>
        <v>#N/A</v>
      </c>
      <c r="G15" s="17" t="e">
        <f>G14*AssumptionTables!$C17</f>
        <v>#N/A</v>
      </c>
      <c r="H15" s="17" t="e">
        <f>H14*AssumptionTables!$C17</f>
        <v>#N/A</v>
      </c>
      <c r="I15" s="17" t="e">
        <f>I14*AssumptionTables!$C17</f>
        <v>#N/A</v>
      </c>
      <c r="K15" s="3" t="str">
        <f t="shared" si="4"/>
        <v>Total Capital including interest</v>
      </c>
      <c r="L15" s="3" t="str">
        <f t="shared" si="6"/>
        <v>Calc</v>
      </c>
      <c r="M15" s="17" t="e">
        <f>M14*AssumptionTables!$C17</f>
        <v>#N/A</v>
      </c>
      <c r="N15" s="17" t="e">
        <f>N14*AssumptionTables!$C17</f>
        <v>#N/A</v>
      </c>
      <c r="O15" s="17" t="e">
        <f>O14*AssumptionTables!$C17</f>
        <v>#N/A</v>
      </c>
      <c r="P15" s="17" t="e">
        <f>P14*AssumptionTables!$C17</f>
        <v>#N/A</v>
      </c>
      <c r="Q15" s="17" t="e">
        <f>Q14*AssumptionTables!$C17</f>
        <v>#N/A</v>
      </c>
      <c r="R15" s="17" t="e">
        <f>R14*AssumptionTables!$C17</f>
        <v>#N/A</v>
      </c>
      <c r="S15" s="17" t="e">
        <f>S14*AssumptionTables!$C17</f>
        <v>#N/A</v>
      </c>
      <c r="U15" s="3" t="s">
        <v>294</v>
      </c>
      <c r="V15" s="289">
        <f>V14*AssumptionTables!$C17</f>
        <v>196620.28334898315</v>
      </c>
      <c r="W15" s="289" t="e">
        <f>W14*AssumptionTables!$C17</f>
        <v>#N/A</v>
      </c>
      <c r="X15" s="289" t="e">
        <f>X14*AssumptionTables!$C17</f>
        <v>#N/A</v>
      </c>
      <c r="Y15" s="289" t="e">
        <f>Y14*AssumptionTables!$C17</f>
        <v>#N/A</v>
      </c>
      <c r="Z15" s="289" t="e">
        <f>Z14*AssumptionTables!$C17</f>
        <v>#N/A</v>
      </c>
      <c r="AA15" s="1" t="s">
        <v>490</v>
      </c>
      <c r="AB15" s="3" t="str">
        <f t="shared" si="1"/>
        <v>Total Capital including interest</v>
      </c>
      <c r="AC15" s="267"/>
      <c r="AD15" s="725">
        <f>AD14*AssumptionTables!$C17</f>
        <v>196620.28334898315</v>
      </c>
      <c r="AE15" s="289" t="e">
        <f>AE14*AssumptionTables!$C17</f>
        <v>#N/A</v>
      </c>
      <c r="AF15" s="289" t="e">
        <f>AF14*AssumptionTables!$C17</f>
        <v>#N/A</v>
      </c>
      <c r="AG15" s="289" t="e">
        <f>AG14*AssumptionTables!$C17</f>
        <v>#N/A</v>
      </c>
      <c r="AH15" s="289" t="e">
        <f>AH14*AssumptionTables!$C17</f>
        <v>#N/A</v>
      </c>
      <c r="AI15" s="1" t="s">
        <v>490</v>
      </c>
    </row>
    <row r="16" spans="1:35" x14ac:dyDescent="0.3">
      <c r="A16" s="3" t="s">
        <v>1046</v>
      </c>
      <c r="B16" s="3" t="s">
        <v>294</v>
      </c>
      <c r="C16" s="17" t="e">
        <f>AssumptionTables!$C$26*TruckCosts!C11</f>
        <v>#N/A</v>
      </c>
      <c r="D16" s="17" t="e">
        <f>AssumptionTables!$C$26*TruckCosts!D11</f>
        <v>#N/A</v>
      </c>
      <c r="E16" s="17" t="e">
        <f>AssumptionTables!$C$26*TruckCosts!E11</f>
        <v>#N/A</v>
      </c>
      <c r="F16" s="17" t="e">
        <f>AssumptionTables!$C$26*TruckCosts!F11</f>
        <v>#N/A</v>
      </c>
      <c r="G16" s="17" t="e">
        <f>AssumptionTables!$C$26*TruckCosts!G11</f>
        <v>#N/A</v>
      </c>
      <c r="H16" s="17" t="e">
        <f>AssumptionTables!$C$26*TruckCosts!H11</f>
        <v>#N/A</v>
      </c>
      <c r="I16" s="17" t="e">
        <f>AssumptionTables!$C$26*TruckCosts!I11</f>
        <v>#N/A</v>
      </c>
      <c r="K16" s="3" t="str">
        <f t="shared" si="4"/>
        <v>Truck Fees (license / insurance)</v>
      </c>
      <c r="L16" s="3" t="str">
        <f t="shared" si="6"/>
        <v>Calc / Assumption</v>
      </c>
      <c r="M16" s="724" t="e">
        <f>AssumptionTables!$C$26*TruckCosts!M11</f>
        <v>#N/A</v>
      </c>
      <c r="N16" s="724" t="e">
        <f>AssumptionTables!$C$26*TruckCosts!N11</f>
        <v>#N/A</v>
      </c>
      <c r="O16" s="724" t="e">
        <f>AssumptionTables!$C$26*TruckCosts!O11</f>
        <v>#N/A</v>
      </c>
      <c r="P16" s="724" t="e">
        <f>AssumptionTables!$C$26*TruckCosts!P11</f>
        <v>#N/A</v>
      </c>
      <c r="Q16" s="724" t="e">
        <f>AssumptionTables!$C$26*TruckCosts!Q11</f>
        <v>#N/A</v>
      </c>
      <c r="R16" s="724" t="e">
        <f>AssumptionTables!$C$26*TruckCosts!R11</f>
        <v>#N/A</v>
      </c>
      <c r="S16" s="724" t="e">
        <f>AssumptionTables!$C$26*TruckCosts!S11</f>
        <v>#N/A</v>
      </c>
      <c r="U16" s="3" t="s">
        <v>294</v>
      </c>
      <c r="V16" s="289">
        <f>AssumptionTables!$C$26*TruckCosts!V11</f>
        <v>7000</v>
      </c>
      <c r="W16" s="289" t="e">
        <f>AssumptionTables!$C$26*TruckCosts!W11</f>
        <v>#N/A</v>
      </c>
      <c r="X16" s="289" t="e">
        <f>AssumptionTables!$C$26*TruckCosts!X11</f>
        <v>#N/A</v>
      </c>
      <c r="Y16" s="289" t="e">
        <f>AssumptionTables!$C$26*TruckCosts!Y11</f>
        <v>#N/A</v>
      </c>
      <c r="Z16" s="289" t="e">
        <f>AssumptionTables!$C$26*TruckCosts!Z11</f>
        <v>#N/A</v>
      </c>
      <c r="AA16" s="1" t="s">
        <v>490</v>
      </c>
      <c r="AB16" s="3" t="str">
        <f t="shared" si="1"/>
        <v>Truck Fees (license / insurance)</v>
      </c>
      <c r="AC16" s="267"/>
      <c r="AD16" s="725">
        <f>AssumptionTables!$C$26*TruckCosts!AD11</f>
        <v>7000</v>
      </c>
      <c r="AE16" s="289" t="e">
        <f>AssumptionTables!$C$26*TruckCosts!AE11</f>
        <v>#N/A</v>
      </c>
      <c r="AF16" s="289" t="e">
        <f>AssumptionTables!$C$26*TruckCosts!AF11</f>
        <v>#N/A</v>
      </c>
      <c r="AG16" s="289" t="e">
        <f>AssumptionTables!$C$26*TruckCosts!AG11</f>
        <v>#N/A</v>
      </c>
      <c r="AH16" s="289" t="e">
        <f>AssumptionTables!$C$26*TruckCosts!AH11</f>
        <v>#N/A</v>
      </c>
      <c r="AI16" s="1" t="s">
        <v>490</v>
      </c>
    </row>
    <row r="17" spans="1:35" x14ac:dyDescent="0.3">
      <c r="A17" s="3" t="s">
        <v>1045</v>
      </c>
      <c r="B17" s="3" t="s">
        <v>294</v>
      </c>
      <c r="C17" s="17" t="e">
        <f>AssumptionTables!$C$27*TruckCosts!C11</f>
        <v>#N/A</v>
      </c>
      <c r="D17" s="17" t="e">
        <f>AssumptionTables!$C$27*TruckCosts!D11</f>
        <v>#N/A</v>
      </c>
      <c r="E17" s="17" t="e">
        <f>AssumptionTables!$C$27*TruckCosts!E11</f>
        <v>#N/A</v>
      </c>
      <c r="F17" s="17" t="e">
        <f>AssumptionTables!$C$27*TruckCosts!F11</f>
        <v>#N/A</v>
      </c>
      <c r="G17" s="17" t="e">
        <f>AssumptionTables!$C$27*TruckCosts!G11</f>
        <v>#N/A</v>
      </c>
      <c r="H17" s="17" t="e">
        <f>AssumptionTables!$C$27*TruckCosts!H11</f>
        <v>#N/A</v>
      </c>
      <c r="I17" s="17" t="e">
        <f>AssumptionTables!$C$27*TruckCosts!I11</f>
        <v>#N/A</v>
      </c>
      <c r="K17" s="3" t="str">
        <f t="shared" si="4"/>
        <v>O&amp;M (Maintenance / Fuel / Fleet)</v>
      </c>
      <c r="L17" s="3" t="str">
        <f t="shared" si="6"/>
        <v>Calc / Assumption</v>
      </c>
      <c r="M17" s="17" t="e">
        <f>AssumptionTables!$C$27*TruckCosts!M11</f>
        <v>#N/A</v>
      </c>
      <c r="N17" s="17" t="e">
        <f>AssumptionTables!$C$27*TruckCosts!N11</f>
        <v>#N/A</v>
      </c>
      <c r="O17" s="17" t="e">
        <f>AssumptionTables!$C$27*TruckCosts!O11</f>
        <v>#N/A</v>
      </c>
      <c r="P17" s="17" t="e">
        <f>AssumptionTables!$C$27*TruckCosts!P11</f>
        <v>#N/A</v>
      </c>
      <c r="Q17" s="17" t="e">
        <f>AssumptionTables!$C$27*TruckCosts!Q11</f>
        <v>#N/A</v>
      </c>
      <c r="R17" s="17" t="e">
        <f>AssumptionTables!$C$27*TruckCosts!R11</f>
        <v>#N/A</v>
      </c>
      <c r="S17" s="17" t="e">
        <f>AssumptionTables!$C$27*TruckCosts!S11</f>
        <v>#N/A</v>
      </c>
      <c r="U17" s="3" t="s">
        <v>294</v>
      </c>
      <c r="V17" s="289">
        <f>AssumptionTables!$C$27*TruckCosts!V11</f>
        <v>33000</v>
      </c>
      <c r="W17" s="289" t="e">
        <f>AssumptionTables!$C$27*TruckCosts!W11</f>
        <v>#N/A</v>
      </c>
      <c r="X17" s="289" t="e">
        <f>AssumptionTables!$C$27*TruckCosts!X11</f>
        <v>#N/A</v>
      </c>
      <c r="Y17" s="289" t="e">
        <f>AssumptionTables!$C$27*TruckCosts!Y11</f>
        <v>#N/A</v>
      </c>
      <c r="Z17" s="289" t="e">
        <f>AssumptionTables!$C$27*TruckCosts!Z11</f>
        <v>#N/A</v>
      </c>
      <c r="AA17" s="1" t="s">
        <v>490</v>
      </c>
      <c r="AB17" s="3" t="str">
        <f t="shared" si="1"/>
        <v>O&amp;M (Maintenance / Fuel / Fleet)</v>
      </c>
      <c r="AC17" s="267"/>
      <c r="AD17" s="725">
        <f>AssumptionTables!$C$27*TruckCosts!AD11</f>
        <v>33000</v>
      </c>
      <c r="AE17" s="289" t="e">
        <f>AssumptionTables!$C$27*TruckCosts!AE11</f>
        <v>#N/A</v>
      </c>
      <c r="AF17" s="289" t="e">
        <f>AssumptionTables!$C$27*TruckCosts!AF11</f>
        <v>#N/A</v>
      </c>
      <c r="AG17" s="289" t="e">
        <f>AssumptionTables!$C$27*TruckCosts!AG11</f>
        <v>#N/A</v>
      </c>
      <c r="AH17" s="289" t="e">
        <f>AssumptionTables!$C$27*TruckCosts!AH11</f>
        <v>#N/A</v>
      </c>
      <c r="AI17" s="1" t="s">
        <v>490</v>
      </c>
    </row>
    <row r="18" spans="1:35" x14ac:dyDescent="0.3">
      <c r="A18" s="3" t="s">
        <v>302</v>
      </c>
      <c r="B18" s="3" t="s">
        <v>294</v>
      </c>
      <c r="C18" s="17" t="e">
        <f>(C16+C17+C23)*AssumptionTables!$C$36</f>
        <v>#N/A</v>
      </c>
      <c r="D18" s="17" t="e">
        <f>(D16+D17+D23)*AssumptionTables!$C$36</f>
        <v>#N/A</v>
      </c>
      <c r="E18" s="17" t="e">
        <f>(E16+E17+E23)*AssumptionTables!$C$36</f>
        <v>#N/A</v>
      </c>
      <c r="F18" s="17" t="e">
        <f>(F16+F17+F23)*AssumptionTables!$C$36</f>
        <v>#N/A</v>
      </c>
      <c r="G18" s="17" t="e">
        <f>(G16+G17+G23)*AssumptionTables!$C$36</f>
        <v>#N/A</v>
      </c>
      <c r="H18" s="17" t="e">
        <f>(H16+H17+H23)*AssumptionTables!$C$36</f>
        <v>#N/A</v>
      </c>
      <c r="I18" s="17" t="e">
        <f>(I16+I17+I23)*AssumptionTables!$C$36</f>
        <v>#N/A</v>
      </c>
      <c r="K18" s="3" t="str">
        <f t="shared" si="4"/>
        <v>Contingency (O&amp;M, Truck Fees)</v>
      </c>
      <c r="L18" s="3" t="str">
        <f t="shared" si="6"/>
        <v>Calc / Assumption</v>
      </c>
      <c r="M18" s="17" t="e">
        <f>(M16+M17+M23)*AssumptionTables!$C$36</f>
        <v>#N/A</v>
      </c>
      <c r="N18" s="17" t="e">
        <f>(N16+N17+N23)*AssumptionTables!$C$36</f>
        <v>#N/A</v>
      </c>
      <c r="O18" s="17" t="e">
        <f>(O16+O17+O23)*AssumptionTables!$C$36</f>
        <v>#N/A</v>
      </c>
      <c r="P18" s="17" t="e">
        <f>(P16+P17+P23)*AssumptionTables!$C$36</f>
        <v>#N/A</v>
      </c>
      <c r="Q18" s="17" t="e">
        <f>(Q16+Q17+Q23)*AssumptionTables!$C$36</f>
        <v>#N/A</v>
      </c>
      <c r="R18" s="17" t="e">
        <f>(R16+R17+R23)*AssumptionTables!$C$36</f>
        <v>#N/A</v>
      </c>
      <c r="S18" s="17" t="e">
        <f>(S16+S17+S23)*AssumptionTables!$C$36</f>
        <v>#N/A</v>
      </c>
      <c r="U18" s="3" t="s">
        <v>294</v>
      </c>
      <c r="V18" s="289">
        <f>(V16+V17+V23)*AssumptionTables!$C$36</f>
        <v>2000</v>
      </c>
      <c r="W18" s="289" t="e">
        <f>(W16+W17+W23)*AssumptionTables!$C$36</f>
        <v>#N/A</v>
      </c>
      <c r="X18" s="289" t="e">
        <f>(X16+X17+X23)*AssumptionTables!$C$36</f>
        <v>#N/A</v>
      </c>
      <c r="Y18" s="289" t="e">
        <f>(Y16+Y17+Y23)*AssumptionTables!$C$36</f>
        <v>#N/A</v>
      </c>
      <c r="Z18" s="289" t="e">
        <f>(Z16+Z17+Z23)*AssumptionTables!$C$36</f>
        <v>#N/A</v>
      </c>
      <c r="AA18" s="1" t="s">
        <v>490</v>
      </c>
      <c r="AB18" s="3" t="str">
        <f t="shared" si="1"/>
        <v>Contingency (O&amp;M, Truck Fees)</v>
      </c>
      <c r="AC18" s="267"/>
      <c r="AD18" s="725">
        <f>(AD16+AD17+AD23)*AssumptionTables!$C$36</f>
        <v>2000</v>
      </c>
      <c r="AE18" s="289" t="e">
        <f>(AE16+AE17+AE23)*AssumptionTables!$C$36</f>
        <v>#N/A</v>
      </c>
      <c r="AF18" s="289" t="e">
        <f>(AF16+AF17+AF23)*AssumptionTables!$C$36</f>
        <v>#N/A</v>
      </c>
      <c r="AG18" s="289" t="e">
        <f>(AG16+AG17+AG23)*AssumptionTables!$C$36</f>
        <v>#N/A</v>
      </c>
      <c r="AH18" s="289" t="e">
        <f>(AH16+AH17+AH23)*AssumptionTables!$C$36</f>
        <v>#N/A</v>
      </c>
      <c r="AI18" s="1" t="s">
        <v>490</v>
      </c>
    </row>
    <row r="19" spans="1:35" x14ac:dyDescent="0.3">
      <c r="A19" s="3" t="s">
        <v>303</v>
      </c>
      <c r="B19" s="3" t="s">
        <v>506</v>
      </c>
      <c r="C19" s="11" t="e">
        <f>CollectionStaffingCosts!C6</f>
        <v>#N/A</v>
      </c>
      <c r="D19" s="11" t="e">
        <f>CollectionStaffingCosts!D6</f>
        <v>#N/A</v>
      </c>
      <c r="E19" s="11" t="e">
        <f>CollectionStaffingCosts!E6</f>
        <v>#N/A</v>
      </c>
      <c r="F19" s="11" t="e">
        <f>CollectionStaffingCosts!F6</f>
        <v>#N/A</v>
      </c>
      <c r="G19" s="11" t="e">
        <f>CollectionStaffingCosts!G6</f>
        <v>#N/A</v>
      </c>
      <c r="H19" s="11" t="e">
        <f>CollectionStaffingCosts!H6</f>
        <v>#N/A</v>
      </c>
      <c r="I19" s="11" t="e">
        <f>CollectionStaffingCosts!I6</f>
        <v>#N/A</v>
      </c>
      <c r="K19" s="3" t="str">
        <f t="shared" si="4"/>
        <v>Number of Pickup Trucks - Supervisor</v>
      </c>
      <c r="L19" s="3" t="str">
        <f t="shared" si="6"/>
        <v>StaffingCosts</v>
      </c>
      <c r="M19" s="11" t="e">
        <f>CollectionStaffingCosts!M6</f>
        <v>#N/A</v>
      </c>
      <c r="N19" s="11" t="e">
        <f>CollectionStaffingCosts!N6</f>
        <v>#N/A</v>
      </c>
      <c r="O19" s="11" t="e">
        <f>CollectionStaffingCosts!O6</f>
        <v>#N/A</v>
      </c>
      <c r="P19" s="11" t="e">
        <f>CollectionStaffingCosts!P6</f>
        <v>#N/A</v>
      </c>
      <c r="Q19" s="11" t="e">
        <f>CollectionStaffingCosts!Q6</f>
        <v>#N/A</v>
      </c>
      <c r="R19" s="11" t="e">
        <f>CollectionStaffingCosts!R6</f>
        <v>#N/A</v>
      </c>
      <c r="S19" s="11" t="e">
        <f>CollectionStaffingCosts!S6</f>
        <v>#N/A</v>
      </c>
      <c r="U19" s="3" t="s">
        <v>506</v>
      </c>
      <c r="V19" s="259">
        <f>CollectionStaffingCosts!V6</f>
        <v>0</v>
      </c>
      <c r="W19" s="259" t="e">
        <f>CollectionStaffingCosts!W6</f>
        <v>#N/A</v>
      </c>
      <c r="X19" s="259" t="e">
        <f>CollectionStaffingCosts!X6</f>
        <v>#N/A</v>
      </c>
      <c r="Y19" s="259" t="e">
        <f>CollectionStaffingCosts!Y6</f>
        <v>#N/A</v>
      </c>
      <c r="Z19" s="259" t="e">
        <f>CollectionStaffingCosts!Z6</f>
        <v>#N/A</v>
      </c>
      <c r="AA19" s="1" t="s">
        <v>490</v>
      </c>
      <c r="AB19" s="3" t="str">
        <f t="shared" si="1"/>
        <v>Number of Pickup Trucks - Supervisor</v>
      </c>
      <c r="AC19" s="267"/>
      <c r="AD19" s="375">
        <f>CollectionStaffingCosts!AD6</f>
        <v>0</v>
      </c>
      <c r="AE19" s="259" t="e">
        <f>CollectionStaffingCosts!AE6</f>
        <v>#N/A</v>
      </c>
      <c r="AF19" s="259" t="e">
        <f>CollectionStaffingCosts!AF6</f>
        <v>#N/A</v>
      </c>
      <c r="AG19" s="259" t="e">
        <f>CollectionStaffingCosts!AG6</f>
        <v>#N/A</v>
      </c>
      <c r="AH19" s="259" t="e">
        <f>CollectionStaffingCosts!AH6</f>
        <v>#N/A</v>
      </c>
      <c r="AI19" s="1" t="s">
        <v>490</v>
      </c>
    </row>
    <row r="20" spans="1:35" x14ac:dyDescent="0.3">
      <c r="A20" s="3" t="s">
        <v>304</v>
      </c>
      <c r="B20" s="3" t="s">
        <v>263</v>
      </c>
      <c r="C20" s="17" t="e">
        <f>C19*AssumptionTables!$C$31</f>
        <v>#N/A</v>
      </c>
      <c r="D20" s="17" t="e">
        <f>D19*AssumptionTables!$C$31</f>
        <v>#N/A</v>
      </c>
      <c r="E20" s="17" t="e">
        <f>E19*AssumptionTables!$C$31</f>
        <v>#N/A</v>
      </c>
      <c r="F20" s="17" t="e">
        <f>F19*AssumptionTables!$C$31</f>
        <v>#N/A</v>
      </c>
      <c r="G20" s="17" t="e">
        <f>G19*AssumptionTables!$C$31</f>
        <v>#N/A</v>
      </c>
      <c r="H20" s="17" t="e">
        <f>H19*AssumptionTables!$C$31</f>
        <v>#N/A</v>
      </c>
      <c r="I20" s="17" t="e">
        <f>I19*AssumptionTables!$C$31</f>
        <v>#N/A</v>
      </c>
      <c r="K20" s="3" t="str">
        <f t="shared" si="4"/>
        <v>Total initial capital Pickup Trucks</v>
      </c>
      <c r="L20" s="3" t="str">
        <f t="shared" si="6"/>
        <v>Calc</v>
      </c>
      <c r="M20" s="17" t="e">
        <f>M19*AssumptionTables!$C$31</f>
        <v>#N/A</v>
      </c>
      <c r="N20" s="17" t="e">
        <f>N19*AssumptionTables!$C$31</f>
        <v>#N/A</v>
      </c>
      <c r="O20" s="17" t="e">
        <f>O19*AssumptionTables!$C$31</f>
        <v>#N/A</v>
      </c>
      <c r="P20" s="17" t="e">
        <f>P19*AssumptionTables!$C$31</f>
        <v>#N/A</v>
      </c>
      <c r="Q20" s="17" t="e">
        <f>Q19*AssumptionTables!$C$31</f>
        <v>#N/A</v>
      </c>
      <c r="R20" s="17" t="e">
        <f>R19*AssumptionTables!$C$31</f>
        <v>#N/A</v>
      </c>
      <c r="S20" s="17" t="e">
        <f>S19*AssumptionTables!$C$31</f>
        <v>#N/A</v>
      </c>
      <c r="U20" s="3" t="s">
        <v>294</v>
      </c>
      <c r="V20" s="289">
        <f>V19*AssumptionTables!$C$31</f>
        <v>0</v>
      </c>
      <c r="W20" s="289" t="e">
        <f>W19*AssumptionTables!$C$31</f>
        <v>#N/A</v>
      </c>
      <c r="X20" s="289" t="e">
        <f>X19*AssumptionTables!$C$31</f>
        <v>#N/A</v>
      </c>
      <c r="Y20" s="289" t="e">
        <f>Y19*AssumptionTables!$C$31</f>
        <v>#N/A</v>
      </c>
      <c r="Z20" s="289" t="e">
        <f>Z19*AssumptionTables!$C$31</f>
        <v>#N/A</v>
      </c>
      <c r="AA20" s="1" t="s">
        <v>490</v>
      </c>
      <c r="AB20" s="3" t="str">
        <f t="shared" si="1"/>
        <v>Total initial capital Pickup Trucks</v>
      </c>
      <c r="AC20" s="267"/>
      <c r="AD20" s="725">
        <f>AD19*AssumptionTables!$C$31</f>
        <v>0</v>
      </c>
      <c r="AE20" s="289" t="e">
        <f>AE19*AssumptionTables!$C$31</f>
        <v>#N/A</v>
      </c>
      <c r="AF20" s="289" t="e">
        <f>AF19*AssumptionTables!$C$31</f>
        <v>#N/A</v>
      </c>
      <c r="AG20" s="289" t="e">
        <f>AG19*AssumptionTables!$C$31</f>
        <v>#N/A</v>
      </c>
      <c r="AH20" s="289" t="e">
        <f>AH19*AssumptionTables!$C$31</f>
        <v>#N/A</v>
      </c>
      <c r="AI20" s="1" t="s">
        <v>490</v>
      </c>
    </row>
    <row r="21" spans="1:35" x14ac:dyDescent="0.3">
      <c r="A21" s="3" t="s">
        <v>305</v>
      </c>
      <c r="B21" s="3" t="s">
        <v>263</v>
      </c>
      <c r="C21" s="17" t="e">
        <f>-PMT(AssumptionTables!$C$18,AssumptionTables!$C$17,C20)</f>
        <v>#N/A</v>
      </c>
      <c r="D21" s="17" t="e">
        <f>-PMT(AssumptionTables!$C$18,AssumptionTables!$C$17,D20)</f>
        <v>#N/A</v>
      </c>
      <c r="E21" s="17" t="e">
        <f>-PMT(AssumptionTables!$C$18,AssumptionTables!$C$17,E20)</f>
        <v>#N/A</v>
      </c>
      <c r="F21" s="17" t="e">
        <f>-PMT(AssumptionTables!$C$18,AssumptionTables!$C$17,F20)</f>
        <v>#N/A</v>
      </c>
      <c r="G21" s="17" t="e">
        <f>-PMT(AssumptionTables!$C$18,AssumptionTables!$C$17,G20)</f>
        <v>#N/A</v>
      </c>
      <c r="H21" s="17" t="e">
        <f>-PMT(AssumptionTables!$C$18,AssumptionTables!$C$17,H20)</f>
        <v>#N/A</v>
      </c>
      <c r="I21" s="17" t="e">
        <f>-PMT(AssumptionTables!$C$18,AssumptionTables!$C$17,I20)</f>
        <v>#N/A</v>
      </c>
      <c r="K21" s="3" t="str">
        <f t="shared" si="4"/>
        <v>Pickup Annual loan payment</v>
      </c>
      <c r="L21" s="3" t="str">
        <f t="shared" si="6"/>
        <v>Calc</v>
      </c>
      <c r="M21" s="17" t="e">
        <f>-PMT(AssumptionTables!$C$18,AssumptionTables!$C$17,M20)</f>
        <v>#N/A</v>
      </c>
      <c r="N21" s="17" t="e">
        <f>-PMT(AssumptionTables!$C$18,AssumptionTables!$C$17,N20)</f>
        <v>#N/A</v>
      </c>
      <c r="O21" s="17" t="e">
        <f>-PMT(AssumptionTables!$C$18,AssumptionTables!$C$17,O20)</f>
        <v>#N/A</v>
      </c>
      <c r="P21" s="17" t="e">
        <f>-PMT(AssumptionTables!$C$18,AssumptionTables!$C$17,P20)</f>
        <v>#N/A</v>
      </c>
      <c r="Q21" s="17" t="e">
        <f>-PMT(AssumptionTables!$C$18,AssumptionTables!$C$17,Q20)</f>
        <v>#N/A</v>
      </c>
      <c r="R21" s="17" t="e">
        <f>-PMT(AssumptionTables!$C$18,AssumptionTables!$C$17,R20)</f>
        <v>#N/A</v>
      </c>
      <c r="S21" s="17" t="e">
        <f>-PMT(AssumptionTables!$C$18,AssumptionTables!$C$17,S20)</f>
        <v>#N/A</v>
      </c>
      <c r="U21" s="3" t="s">
        <v>294</v>
      </c>
      <c r="V21" s="289">
        <f>-PMT(AssumptionTables!$C$18,AssumptionTables!$C$17,V20)</f>
        <v>0</v>
      </c>
      <c r="W21" s="289" t="e">
        <f>-PMT(AssumptionTables!$C$18,AssumptionTables!$C$17,W20)</f>
        <v>#N/A</v>
      </c>
      <c r="X21" s="289" t="e">
        <f>-PMT(AssumptionTables!$C$18,AssumptionTables!$C$17,X20)</f>
        <v>#N/A</v>
      </c>
      <c r="Y21" s="289" t="e">
        <f>-PMT(AssumptionTables!$C$18,AssumptionTables!$C$17,Y20)</f>
        <v>#N/A</v>
      </c>
      <c r="Z21" s="289" t="e">
        <f>-PMT(AssumptionTables!$C$18,AssumptionTables!$C$17,Z20)</f>
        <v>#N/A</v>
      </c>
      <c r="AA21" s="1" t="s">
        <v>490</v>
      </c>
      <c r="AB21" s="3" t="str">
        <f t="shared" si="1"/>
        <v>Pickup Annual loan payment</v>
      </c>
      <c r="AC21" s="267"/>
      <c r="AD21" s="725">
        <f>-PMT(AssumptionTables!$C$18,AssumptionTables!$C$17,AD20)</f>
        <v>0</v>
      </c>
      <c r="AE21" s="289" t="e">
        <f>-PMT(AssumptionTables!$C$18,AssumptionTables!$C$17,AE20)</f>
        <v>#N/A</v>
      </c>
      <c r="AF21" s="289" t="e">
        <f>-PMT(AssumptionTables!$C$18,AssumptionTables!$C$17,AF20)</f>
        <v>#N/A</v>
      </c>
      <c r="AG21" s="289" t="e">
        <f>-PMT(AssumptionTables!$C$18,AssumptionTables!$C$17,AG20)</f>
        <v>#N/A</v>
      </c>
      <c r="AH21" s="289" t="e">
        <f>-PMT(AssumptionTables!$C$18,AssumptionTables!$C$17,AH20)</f>
        <v>#N/A</v>
      </c>
      <c r="AI21" s="1" t="s">
        <v>490</v>
      </c>
    </row>
    <row r="22" spans="1:35" x14ac:dyDescent="0.3">
      <c r="A22" s="3" t="s">
        <v>306</v>
      </c>
      <c r="B22" s="3" t="s">
        <v>263</v>
      </c>
      <c r="C22" s="17" t="e">
        <f>C21*AssumptionTables!$C$17</f>
        <v>#N/A</v>
      </c>
      <c r="D22" s="17" t="e">
        <f>D21*AssumptionTables!$C$17</f>
        <v>#N/A</v>
      </c>
      <c r="E22" s="17" t="e">
        <f>E21*AssumptionTables!$C$17</f>
        <v>#N/A</v>
      </c>
      <c r="F22" s="17" t="e">
        <f>F21*AssumptionTables!$C$17</f>
        <v>#N/A</v>
      </c>
      <c r="G22" s="17" t="e">
        <f>G21*AssumptionTables!$C$17</f>
        <v>#N/A</v>
      </c>
      <c r="H22" s="17" t="e">
        <f>H21*AssumptionTables!$C$17</f>
        <v>#N/A</v>
      </c>
      <c r="I22" s="17" t="e">
        <f>I21*AssumptionTables!$C$17</f>
        <v>#N/A</v>
      </c>
      <c r="K22" s="3" t="str">
        <f t="shared" si="4"/>
        <v>Pick up Total Capital including interest</v>
      </c>
      <c r="L22" s="3" t="str">
        <f t="shared" si="6"/>
        <v>Calc</v>
      </c>
      <c r="M22" s="17" t="e">
        <f>M21*AssumptionTables!$C$17</f>
        <v>#N/A</v>
      </c>
      <c r="N22" s="17" t="e">
        <f>N21*AssumptionTables!$C$17</f>
        <v>#N/A</v>
      </c>
      <c r="O22" s="17" t="e">
        <f>O21*AssumptionTables!$C$17</f>
        <v>#N/A</v>
      </c>
      <c r="P22" s="17" t="e">
        <f>P21*AssumptionTables!$C$17</f>
        <v>#N/A</v>
      </c>
      <c r="Q22" s="17" t="e">
        <f>Q21*AssumptionTables!$C$17</f>
        <v>#N/A</v>
      </c>
      <c r="R22" s="17" t="e">
        <f>R21*AssumptionTables!$C$17</f>
        <v>#N/A</v>
      </c>
      <c r="S22" s="17" t="e">
        <f>S21*AssumptionTables!$C$17</f>
        <v>#N/A</v>
      </c>
      <c r="U22" s="3" t="s">
        <v>294</v>
      </c>
      <c r="V22" s="289">
        <f>V21*AssumptionTables!$C$17</f>
        <v>0</v>
      </c>
      <c r="W22" s="289" t="e">
        <f>W21*AssumptionTables!$C$17</f>
        <v>#N/A</v>
      </c>
      <c r="X22" s="289" t="e">
        <f>X21*AssumptionTables!$C$17</f>
        <v>#N/A</v>
      </c>
      <c r="Y22" s="289" t="e">
        <f>Y21*AssumptionTables!$C$17</f>
        <v>#N/A</v>
      </c>
      <c r="Z22" s="289" t="e">
        <f>Z21*AssumptionTables!$C$17</f>
        <v>#N/A</v>
      </c>
      <c r="AA22" s="1" t="s">
        <v>490</v>
      </c>
      <c r="AB22" s="3" t="str">
        <f t="shared" si="1"/>
        <v>Pick up Total Capital including interest</v>
      </c>
      <c r="AC22" s="267"/>
      <c r="AD22" s="725">
        <f>AD21*AssumptionTables!$C$17</f>
        <v>0</v>
      </c>
      <c r="AE22" s="289" t="e">
        <f>AE21*AssumptionTables!$C$17</f>
        <v>#N/A</v>
      </c>
      <c r="AF22" s="289" t="e">
        <f>AF21*AssumptionTables!$C$17</f>
        <v>#N/A</v>
      </c>
      <c r="AG22" s="289" t="e">
        <f>AG21*AssumptionTables!$C$17</f>
        <v>#N/A</v>
      </c>
      <c r="AH22" s="289" t="e">
        <f>AH21*AssumptionTables!$C$17</f>
        <v>#N/A</v>
      </c>
      <c r="AI22" s="1" t="s">
        <v>490</v>
      </c>
    </row>
    <row r="23" spans="1:35" x14ac:dyDescent="0.3">
      <c r="A23" s="3" t="s">
        <v>307</v>
      </c>
      <c r="B23" s="3" t="s">
        <v>263</v>
      </c>
      <c r="C23" s="17" t="e">
        <f>C19*AssumptionTables!$C$33</f>
        <v>#N/A</v>
      </c>
      <c r="D23" s="17" t="e">
        <f>D19*AssumptionTables!$C$33</f>
        <v>#N/A</v>
      </c>
      <c r="E23" s="17" t="e">
        <f>E19*AssumptionTables!$C$33</f>
        <v>#N/A</v>
      </c>
      <c r="F23" s="17" t="e">
        <f>F19*AssumptionTables!$C$33</f>
        <v>#N/A</v>
      </c>
      <c r="G23" s="17" t="e">
        <f>G19*AssumptionTables!$C$33</f>
        <v>#N/A</v>
      </c>
      <c r="H23" s="17" t="e">
        <f>H19*AssumptionTables!$C$33</f>
        <v>#N/A</v>
      </c>
      <c r="I23" s="17" t="e">
        <f>I19*AssumptionTables!$C$33</f>
        <v>#N/A</v>
      </c>
      <c r="K23" s="3" t="str">
        <f t="shared" si="4"/>
        <v>Pickup Truck Operating Costs</v>
      </c>
      <c r="L23" s="3" t="str">
        <f t="shared" si="6"/>
        <v>Calc</v>
      </c>
      <c r="M23" s="17" t="e">
        <f>M19*AssumptionTables!$C$33</f>
        <v>#N/A</v>
      </c>
      <c r="N23" s="17" t="e">
        <f>N19*AssumptionTables!$C$33</f>
        <v>#N/A</v>
      </c>
      <c r="O23" s="17" t="e">
        <f>O19*AssumptionTables!$C$33</f>
        <v>#N/A</v>
      </c>
      <c r="P23" s="17" t="e">
        <f>P19*AssumptionTables!$C$33</f>
        <v>#N/A</v>
      </c>
      <c r="Q23" s="17" t="e">
        <f>Q19*AssumptionTables!$C$33</f>
        <v>#N/A</v>
      </c>
      <c r="R23" s="17" t="e">
        <f>R19*AssumptionTables!$C$33</f>
        <v>#N/A</v>
      </c>
      <c r="S23" s="17" t="e">
        <f>S19*AssumptionTables!$C$33</f>
        <v>#N/A</v>
      </c>
      <c r="U23" s="3" t="s">
        <v>294</v>
      </c>
      <c r="V23" s="289">
        <f>V19*AssumptionTables!$C$33</f>
        <v>0</v>
      </c>
      <c r="W23" s="289" t="e">
        <f>W19*AssumptionTables!$C$33</f>
        <v>#N/A</v>
      </c>
      <c r="X23" s="289" t="e">
        <f>X19*AssumptionTables!$C$33</f>
        <v>#N/A</v>
      </c>
      <c r="Y23" s="289" t="e">
        <f>Y19*AssumptionTables!$C$33</f>
        <v>#N/A</v>
      </c>
      <c r="Z23" s="289" t="e">
        <f>Z19*AssumptionTables!$C$33</f>
        <v>#N/A</v>
      </c>
      <c r="AA23" s="1" t="s">
        <v>490</v>
      </c>
      <c r="AB23" s="3" t="str">
        <f t="shared" si="1"/>
        <v>Pickup Truck Operating Costs</v>
      </c>
      <c r="AC23" s="267"/>
      <c r="AD23" s="725">
        <f>AD19*AssumptionTables!$C$33</f>
        <v>0</v>
      </c>
      <c r="AE23" s="289" t="e">
        <f>AE19*AssumptionTables!$C$33</f>
        <v>#N/A</v>
      </c>
      <c r="AF23" s="289" t="e">
        <f>AF19*AssumptionTables!$C$33</f>
        <v>#N/A</v>
      </c>
      <c r="AG23" s="289" t="e">
        <f>AG19*AssumptionTables!$C$33</f>
        <v>#N/A</v>
      </c>
      <c r="AH23" s="289" t="e">
        <f>AH19*AssumptionTables!$C$33</f>
        <v>#N/A</v>
      </c>
      <c r="AI23" s="1" t="s">
        <v>490</v>
      </c>
    </row>
    <row r="24" spans="1:35" x14ac:dyDescent="0.3">
      <c r="A24" s="3" t="s">
        <v>308</v>
      </c>
      <c r="B24" s="3" t="s">
        <v>506</v>
      </c>
      <c r="C24" s="11">
        <v>0</v>
      </c>
      <c r="D24" s="11" t="e">
        <f>IF(CollectionStaffingCosts!D8&lt;1,0, IF(CollectionStaffingCosts!D8&lt;3,1, IF(CollectionStaffingCosts!D8&lt;6,2)))</f>
        <v>#N/A</v>
      </c>
      <c r="E24" s="11" t="e">
        <f>IF(CollectionStaffingCosts!E8&lt;1,0, IF(CollectionStaffingCosts!E8&lt;3,1, IF(CollectionStaffingCosts!E8&lt;6,2)))</f>
        <v>#N/A</v>
      </c>
      <c r="F24" s="11" t="e">
        <f>IF(CollectionStaffingCosts!F8&lt;1,0, IF(CollectionStaffingCosts!F8&lt;3,1, IF(CollectionStaffingCosts!F8&lt;6,2)))</f>
        <v>#N/A</v>
      </c>
      <c r="G24" s="11" t="e">
        <f>IF(CollectionStaffingCosts!G8&lt;1,0, IF(CollectionStaffingCosts!G8&lt;3,1, IF(CollectionStaffingCosts!G8&lt;6,2)))</f>
        <v>#N/A</v>
      </c>
      <c r="H24" s="11" t="e">
        <f>IF(CollectionStaffingCosts!H8&lt;1,0, IF(CollectionStaffingCosts!H8&lt;3,1, IF(CollectionStaffingCosts!H8&lt;6,2)))</f>
        <v>#N/A</v>
      </c>
      <c r="I24" s="11" t="e">
        <f>IF(CollectionStaffingCosts!I8&lt;1,0, IF(CollectionStaffingCosts!I8&lt;3,1, IF(CollectionStaffingCosts!I8&lt;6,2)))</f>
        <v>#N/A</v>
      </c>
      <c r="K24" s="3" t="str">
        <f t="shared" si="4"/>
        <v xml:space="preserve">Number of Cart Delivery Trucks </v>
      </c>
      <c r="L24" s="3" t="str">
        <f t="shared" si="6"/>
        <v>StaffingCosts</v>
      </c>
      <c r="M24" s="11">
        <v>0</v>
      </c>
      <c r="N24" s="11" t="e">
        <f>IF(CollectionStaffingCosts!D8&lt;1,0, IF(CollectionStaffingCosts!D8&lt;3,1, IF(CollectionStaffingCosts!D8&lt;6,2)))</f>
        <v>#N/A</v>
      </c>
      <c r="O24" s="11" t="e">
        <f>IF(CollectionStaffingCosts!E8&lt;1,0, IF(CollectionStaffingCosts!E8&lt;3,1, IF(CollectionStaffingCosts!E8&lt;6,2)))</f>
        <v>#N/A</v>
      </c>
      <c r="P24" s="11" t="e">
        <f>IF(CollectionStaffingCosts!F8&lt;1,0, IF(CollectionStaffingCosts!F8&lt;3,1, IF(CollectionStaffingCosts!F8&lt;6,2)))</f>
        <v>#N/A</v>
      </c>
      <c r="Q24" s="11" t="e">
        <f>IF(CollectionStaffingCosts!G8&lt;1,0, IF(CollectionStaffingCosts!G8&lt;3,1, IF(CollectionStaffingCosts!G8&lt;6,2)))</f>
        <v>#N/A</v>
      </c>
      <c r="R24" s="11" t="e">
        <f>IF(CollectionStaffingCosts!H8&lt;1,0, IF(CollectionStaffingCosts!H8&lt;3,1, IF(CollectionStaffingCosts!H8&lt;6,2)))</f>
        <v>#N/A</v>
      </c>
      <c r="S24" s="11" t="e">
        <f>IF(CollectionStaffingCosts!I8&lt;1,0, IF(CollectionStaffingCosts!I8&lt;3,1, IF(CollectionStaffingCosts!I8&lt;6,2)))</f>
        <v>#N/A</v>
      </c>
      <c r="U24" s="3" t="s">
        <v>506</v>
      </c>
      <c r="V24" s="259"/>
      <c r="W24" s="259" t="e">
        <f>IF(CollectionStaffingCosts!W8&lt;1,0, IF(CollectionStaffingCosts!W8&lt;3,1, IF(CollectionStaffingCosts!W8&lt;6,2)))</f>
        <v>#N/A</v>
      </c>
      <c r="X24" s="259" t="e">
        <f>IF(CollectionStaffingCosts!X8&lt;1,0, IF(CollectionStaffingCosts!X8&lt;3,1, IF(CollectionStaffingCosts!X8&lt;6,2)))</f>
        <v>#N/A</v>
      </c>
      <c r="Y24" s="259" t="e">
        <f>IF(CollectionStaffingCosts!Y8&lt;1,0, IF(CollectionStaffingCosts!Y8&lt;3,1, IF(CollectionStaffingCosts!Y8&lt;6,2)))</f>
        <v>#N/A</v>
      </c>
      <c r="Z24" s="259" t="e">
        <f>IF(CollectionStaffingCosts!Z8&lt;1,0, IF(CollectionStaffingCosts!Z8&lt;3,1, IF(CollectionStaffingCosts!Z8&lt;6,2)))</f>
        <v>#N/A</v>
      </c>
      <c r="AA24" s="1" t="s">
        <v>490</v>
      </c>
      <c r="AB24" s="3" t="str">
        <f t="shared" si="1"/>
        <v xml:space="preserve">Number of Cart Delivery Trucks </v>
      </c>
      <c r="AC24" s="267"/>
      <c r="AD24" s="375"/>
      <c r="AE24" s="259" t="e">
        <f>IF(CollectionStaffingCosts!W8&lt;1,0, IF(CollectionStaffingCosts!W8&lt;3,1, IF(CollectionStaffingCosts!W8&lt;6,2)))</f>
        <v>#N/A</v>
      </c>
      <c r="AF24" s="259" t="e">
        <f>IF(CollectionStaffingCosts!X8&lt;1,0, IF(CollectionStaffingCosts!X8&lt;3,1, IF(CollectionStaffingCosts!X8&lt;6,2)))</f>
        <v>#N/A</v>
      </c>
      <c r="AG24" s="259" t="e">
        <f>IF(CollectionStaffingCosts!Y8&lt;1,0, IF(CollectionStaffingCosts!Y8&lt;3,1, IF(CollectionStaffingCosts!Y8&lt;6,2)))</f>
        <v>#N/A</v>
      </c>
      <c r="AH24" s="259" t="e">
        <f>IF(CollectionStaffingCosts!Z8&lt;1,0, IF(CollectionStaffingCosts!Z8&lt;3,1, IF(CollectionStaffingCosts!Z8&lt;6,2)))</f>
        <v>#N/A</v>
      </c>
      <c r="AI24" s="1" t="s">
        <v>490</v>
      </c>
    </row>
    <row r="25" spans="1:35" x14ac:dyDescent="0.3">
      <c r="A25" s="3" t="s">
        <v>309</v>
      </c>
      <c r="B25" s="3" t="s">
        <v>263</v>
      </c>
      <c r="C25" s="11">
        <v>0</v>
      </c>
      <c r="D25" s="17" t="e">
        <f>D24*AssumptionTables!$C$32</f>
        <v>#N/A</v>
      </c>
      <c r="E25" s="17" t="e">
        <f>E24*AssumptionTables!$C$32</f>
        <v>#N/A</v>
      </c>
      <c r="F25" s="17" t="e">
        <f>F24*AssumptionTables!$C$32</f>
        <v>#N/A</v>
      </c>
      <c r="G25" s="17" t="e">
        <f>G24*AssumptionTables!$C$32</f>
        <v>#N/A</v>
      </c>
      <c r="H25" s="17" t="e">
        <f>H24*AssumptionTables!$C$32</f>
        <v>#N/A</v>
      </c>
      <c r="I25" s="17" t="e">
        <f>I24*AssumptionTables!$C$32</f>
        <v>#N/A</v>
      </c>
      <c r="K25" s="3" t="str">
        <f t="shared" si="4"/>
        <v>Total initial capital Flatbed Trucks</v>
      </c>
      <c r="L25" s="3" t="str">
        <f t="shared" si="6"/>
        <v>Calc</v>
      </c>
      <c r="M25" s="11">
        <v>0</v>
      </c>
      <c r="N25" s="17" t="e">
        <f>N24*AssumptionTables!$C$32</f>
        <v>#N/A</v>
      </c>
      <c r="O25" s="17" t="e">
        <f>O24*AssumptionTables!$C$32</f>
        <v>#N/A</v>
      </c>
      <c r="P25" s="17" t="e">
        <f>P24*AssumptionTables!$C$32</f>
        <v>#N/A</v>
      </c>
      <c r="Q25" s="17" t="e">
        <f>Q24*AssumptionTables!$C$32</f>
        <v>#N/A</v>
      </c>
      <c r="R25" s="17" t="e">
        <f>R24*AssumptionTables!$C$32</f>
        <v>#N/A</v>
      </c>
      <c r="S25" s="17" t="e">
        <f>S24*AssumptionTables!$C$32</f>
        <v>#N/A</v>
      </c>
      <c r="U25" s="3" t="s">
        <v>294</v>
      </c>
      <c r="V25" s="292"/>
      <c r="W25" s="289" t="e">
        <f>W24*AssumptionTables!$C$32</f>
        <v>#N/A</v>
      </c>
      <c r="X25" s="289" t="e">
        <f>X24*AssumptionTables!$C$32</f>
        <v>#N/A</v>
      </c>
      <c r="Y25" s="289" t="e">
        <f>Y24*AssumptionTables!$C$32</f>
        <v>#N/A</v>
      </c>
      <c r="Z25" s="289" t="e">
        <f>Z24*AssumptionTables!$C$32</f>
        <v>#N/A</v>
      </c>
      <c r="AA25" s="1" t="s">
        <v>490</v>
      </c>
      <c r="AB25" s="3" t="str">
        <f t="shared" si="1"/>
        <v>Total initial capital Flatbed Trucks</v>
      </c>
      <c r="AC25" s="267"/>
      <c r="AD25" s="743"/>
      <c r="AE25" s="742" t="e">
        <f>AE24*AssumptionTables!$C$32</f>
        <v>#N/A</v>
      </c>
      <c r="AF25" s="742" t="e">
        <f>AF24*AssumptionTables!$C$32</f>
        <v>#N/A</v>
      </c>
      <c r="AG25" s="742" t="e">
        <f>AG24*AssumptionTables!$C$32</f>
        <v>#N/A</v>
      </c>
      <c r="AH25" s="742" t="e">
        <f>AH24*AssumptionTables!$C$32</f>
        <v>#N/A</v>
      </c>
      <c r="AI25" s="1" t="s">
        <v>490</v>
      </c>
    </row>
    <row r="26" spans="1:35" x14ac:dyDescent="0.3">
      <c r="A26" s="3" t="s">
        <v>310</v>
      </c>
      <c r="B26" s="3" t="s">
        <v>263</v>
      </c>
      <c r="C26" s="11">
        <v>0</v>
      </c>
      <c r="D26" s="17" t="e">
        <f>-PMT(AssumptionTables!$C$18,AssumptionTables!$C$17,D25)</f>
        <v>#N/A</v>
      </c>
      <c r="E26" s="17" t="e">
        <f>-PMT(AssumptionTables!$C$18,AssumptionTables!$C$17,E25)</f>
        <v>#N/A</v>
      </c>
      <c r="F26" s="17" t="e">
        <f>-PMT(AssumptionTables!$C$18,AssumptionTables!$C$17,F25)</f>
        <v>#N/A</v>
      </c>
      <c r="G26" s="17" t="e">
        <f>-PMT(AssumptionTables!$C$18,AssumptionTables!$C$17,G25)</f>
        <v>#N/A</v>
      </c>
      <c r="H26" s="17" t="e">
        <f>-PMT(AssumptionTables!$C$18,AssumptionTables!$C$17,H25)</f>
        <v>#N/A</v>
      </c>
      <c r="I26" s="17" t="e">
        <f>-PMT(AssumptionTables!$C$18,AssumptionTables!$C$17,I25)</f>
        <v>#N/A</v>
      </c>
      <c r="K26" s="3" t="str">
        <f t="shared" si="4"/>
        <v>Flatbed Annual loan payment</v>
      </c>
      <c r="L26" s="3" t="str">
        <f t="shared" si="6"/>
        <v>Calc</v>
      </c>
      <c r="M26" s="11">
        <v>0</v>
      </c>
      <c r="N26" s="17" t="e">
        <f>-PMT(AssumptionTables!$C$18,AssumptionTables!$C$17,N25)</f>
        <v>#N/A</v>
      </c>
      <c r="O26" s="17" t="e">
        <f>-PMT(AssumptionTables!$C$18,AssumptionTables!$C$17,O25)</f>
        <v>#N/A</v>
      </c>
      <c r="P26" s="17" t="e">
        <f>-PMT(AssumptionTables!$C$18,AssumptionTables!$C$17,P25)</f>
        <v>#N/A</v>
      </c>
      <c r="Q26" s="17" t="e">
        <f>-PMT(AssumptionTables!$C$18,AssumptionTables!$C$17,Q25)</f>
        <v>#N/A</v>
      </c>
      <c r="R26" s="17" t="e">
        <f>-PMT(AssumptionTables!$C$18,AssumptionTables!$C$17,R25)</f>
        <v>#N/A</v>
      </c>
      <c r="S26" s="17" t="e">
        <f>-PMT(AssumptionTables!$C$18,AssumptionTables!$C$17,S25)</f>
        <v>#N/A</v>
      </c>
      <c r="U26" s="3" t="s">
        <v>294</v>
      </c>
      <c r="V26" s="292"/>
      <c r="W26" s="289" t="e">
        <f>-PMT(AssumptionTables!$C$18,AssumptionTables!$C$17,W25)</f>
        <v>#N/A</v>
      </c>
      <c r="X26" s="289" t="e">
        <f>-PMT(AssumptionTables!$C$18,AssumptionTables!$C$17,X25)</f>
        <v>#N/A</v>
      </c>
      <c r="Y26" s="289" t="e">
        <f>-PMT(AssumptionTables!$C$18,AssumptionTables!$C$17,Y25)</f>
        <v>#N/A</v>
      </c>
      <c r="Z26" s="289" t="e">
        <f>-PMT(AssumptionTables!$C$18,AssumptionTables!$C$17,Z25)</f>
        <v>#N/A</v>
      </c>
      <c r="AA26" s="1" t="s">
        <v>490</v>
      </c>
      <c r="AB26" s="3" t="str">
        <f t="shared" si="1"/>
        <v>Flatbed Annual loan payment</v>
      </c>
      <c r="AC26" s="267"/>
      <c r="AD26" s="743"/>
      <c r="AE26" s="742" t="e">
        <f>-PMT(AssumptionTables!$C$18,AssumptionTables!$C$17,AE25)</f>
        <v>#N/A</v>
      </c>
      <c r="AF26" s="742" t="e">
        <f>-PMT(AssumptionTables!$C$18,AssumptionTables!$C$17,AF25)</f>
        <v>#N/A</v>
      </c>
      <c r="AG26" s="742" t="e">
        <f>-PMT(AssumptionTables!$C$18,AssumptionTables!$C$17,AG25)</f>
        <v>#N/A</v>
      </c>
      <c r="AH26" s="742" t="e">
        <f>-PMT(AssumptionTables!$C$18,AssumptionTables!$C$17,AH25)</f>
        <v>#N/A</v>
      </c>
      <c r="AI26" s="1" t="s">
        <v>490</v>
      </c>
    </row>
    <row r="27" spans="1:35" x14ac:dyDescent="0.3">
      <c r="A27" s="3" t="s">
        <v>311</v>
      </c>
      <c r="B27" s="3" t="s">
        <v>263</v>
      </c>
      <c r="C27" s="11">
        <v>0</v>
      </c>
      <c r="D27" s="17" t="e">
        <f>D26*AssumptionTables!$C$17</f>
        <v>#N/A</v>
      </c>
      <c r="E27" s="17" t="e">
        <f>E26*AssumptionTables!$C$17</f>
        <v>#N/A</v>
      </c>
      <c r="F27" s="17" t="e">
        <f>F26*AssumptionTables!$C$17</f>
        <v>#N/A</v>
      </c>
      <c r="G27" s="17" t="e">
        <f>G26*AssumptionTables!$C$17</f>
        <v>#N/A</v>
      </c>
      <c r="H27" s="17" t="e">
        <f>H26*AssumptionTables!$C$17</f>
        <v>#N/A</v>
      </c>
      <c r="I27" s="17" t="e">
        <f>I26*AssumptionTables!$C$17</f>
        <v>#N/A</v>
      </c>
      <c r="K27" s="3" t="str">
        <f t="shared" si="4"/>
        <v>Flatbed Total Capital including interest</v>
      </c>
      <c r="L27" s="3" t="str">
        <f t="shared" si="6"/>
        <v>Calc</v>
      </c>
      <c r="M27" s="11">
        <v>0</v>
      </c>
      <c r="N27" s="17" t="e">
        <f>N26*AssumptionTables!$C$17</f>
        <v>#N/A</v>
      </c>
      <c r="O27" s="17" t="e">
        <f>O26*AssumptionTables!$C$17</f>
        <v>#N/A</v>
      </c>
      <c r="P27" s="17" t="e">
        <f>P26*AssumptionTables!$C$17</f>
        <v>#N/A</v>
      </c>
      <c r="Q27" s="17" t="e">
        <f>Q26*AssumptionTables!$C$17</f>
        <v>#N/A</v>
      </c>
      <c r="R27" s="17" t="e">
        <f>R26*AssumptionTables!$C$17</f>
        <v>#N/A</v>
      </c>
      <c r="S27" s="17" t="e">
        <f>S26*AssumptionTables!$C$17</f>
        <v>#N/A</v>
      </c>
      <c r="U27" s="3" t="s">
        <v>294</v>
      </c>
      <c r="V27" s="292"/>
      <c r="W27" s="289" t="e">
        <f>W26*AssumptionTables!$C$17</f>
        <v>#N/A</v>
      </c>
      <c r="X27" s="289" t="e">
        <f>X26*AssumptionTables!$C$17</f>
        <v>#N/A</v>
      </c>
      <c r="Y27" s="289" t="e">
        <f>Y26*AssumptionTables!$C$17</f>
        <v>#N/A</v>
      </c>
      <c r="Z27" s="289" t="e">
        <f>Z26*AssumptionTables!$C$17</f>
        <v>#N/A</v>
      </c>
      <c r="AA27" s="1" t="s">
        <v>490</v>
      </c>
      <c r="AB27" s="3" t="str">
        <f t="shared" si="1"/>
        <v>Flatbed Total Capital including interest</v>
      </c>
      <c r="AC27" s="267"/>
      <c r="AD27" s="743"/>
      <c r="AE27" s="742" t="e">
        <f>AE26*AssumptionTables!$C$17</f>
        <v>#N/A</v>
      </c>
      <c r="AF27" s="742" t="e">
        <f>AF26*AssumptionTables!$C$17</f>
        <v>#N/A</v>
      </c>
      <c r="AG27" s="742" t="e">
        <f>AG26*AssumptionTables!$C$17</f>
        <v>#N/A</v>
      </c>
      <c r="AH27" s="742" t="e">
        <f>AH26*AssumptionTables!$C$17</f>
        <v>#N/A</v>
      </c>
      <c r="AI27" s="1" t="s">
        <v>490</v>
      </c>
    </row>
    <row r="28" spans="1:35" x14ac:dyDescent="0.3">
      <c r="A28" s="3" t="s">
        <v>312</v>
      </c>
      <c r="B28" s="3" t="s">
        <v>263</v>
      </c>
      <c r="C28" s="11">
        <v>0</v>
      </c>
      <c r="D28" s="17" t="e">
        <f>D24*AssumptionTables!$C$34</f>
        <v>#N/A</v>
      </c>
      <c r="E28" s="17" t="e">
        <f>E24*AssumptionTables!$C$34</f>
        <v>#N/A</v>
      </c>
      <c r="F28" s="17" t="e">
        <f>F24*AssumptionTables!$C$34</f>
        <v>#N/A</v>
      </c>
      <c r="G28" s="17" t="e">
        <f>G24*AssumptionTables!$C$34</f>
        <v>#N/A</v>
      </c>
      <c r="H28" s="17" t="e">
        <f>H24*AssumptionTables!$C$34</f>
        <v>#N/A</v>
      </c>
      <c r="I28" s="17" t="e">
        <f>I24*AssumptionTables!$C$34</f>
        <v>#N/A</v>
      </c>
      <c r="K28" s="3" t="str">
        <f t="shared" si="4"/>
        <v>Flatbed Truck Operating Costs</v>
      </c>
      <c r="L28" s="3" t="str">
        <f t="shared" si="6"/>
        <v>Calc</v>
      </c>
      <c r="M28" s="11">
        <v>0</v>
      </c>
      <c r="N28" s="17" t="e">
        <f>N24*AssumptionTables!$C$34</f>
        <v>#N/A</v>
      </c>
      <c r="O28" s="17" t="e">
        <f>O24*AssumptionTables!$C$34</f>
        <v>#N/A</v>
      </c>
      <c r="P28" s="17" t="e">
        <f>P24*AssumptionTables!$C$34</f>
        <v>#N/A</v>
      </c>
      <c r="Q28" s="17" t="e">
        <f>Q24*AssumptionTables!$C$34</f>
        <v>#N/A</v>
      </c>
      <c r="R28" s="17" t="e">
        <f>R24*AssumptionTables!$C$34</f>
        <v>#N/A</v>
      </c>
      <c r="S28" s="17" t="e">
        <f>S24*AssumptionTables!$C$34</f>
        <v>#N/A</v>
      </c>
      <c r="U28" s="3" t="s">
        <v>294</v>
      </c>
      <c r="V28" s="292"/>
      <c r="W28" s="289" t="e">
        <f>W24*AssumptionTables!$C$34</f>
        <v>#N/A</v>
      </c>
      <c r="X28" s="289" t="e">
        <f>X24*AssumptionTables!$C$34</f>
        <v>#N/A</v>
      </c>
      <c r="Y28" s="289" t="e">
        <f>Y24*AssumptionTables!$C$34</f>
        <v>#N/A</v>
      </c>
      <c r="Z28" s="289" t="e">
        <f>Z24*AssumptionTables!$C$34</f>
        <v>#N/A</v>
      </c>
      <c r="AA28" s="1" t="s">
        <v>490</v>
      </c>
      <c r="AB28" s="3" t="str">
        <f t="shared" si="1"/>
        <v>Flatbed Truck Operating Costs</v>
      </c>
      <c r="AC28" s="267"/>
      <c r="AD28" s="743"/>
      <c r="AE28" s="742" t="e">
        <f>AE24*AssumptionTables!$C$34</f>
        <v>#N/A</v>
      </c>
      <c r="AF28" s="742" t="e">
        <f>AF24*AssumptionTables!$C$34</f>
        <v>#N/A</v>
      </c>
      <c r="AG28" s="742" t="e">
        <f>AG24*AssumptionTables!$C$34</f>
        <v>#N/A</v>
      </c>
      <c r="AH28" s="742" t="e">
        <f>AH24*AssumptionTables!$C$34</f>
        <v>#N/A</v>
      </c>
      <c r="AI28" s="1" t="s">
        <v>490</v>
      </c>
    </row>
    <row r="29" spans="1:35" x14ac:dyDescent="0.3">
      <c r="C29" s="196"/>
    </row>
    <row r="30" spans="1:35" x14ac:dyDescent="0.3">
      <c r="A30" s="2" t="s">
        <v>266</v>
      </c>
      <c r="K30" s="2"/>
      <c r="AB30" s="2" t="s">
        <v>266</v>
      </c>
      <c r="AC30" s="2"/>
    </row>
    <row r="31" spans="1:35" x14ac:dyDescent="0.3">
      <c r="A31" s="3" t="s">
        <v>313</v>
      </c>
      <c r="B31" s="3"/>
      <c r="C31" s="16" t="e">
        <f>C19+C11</f>
        <v>#N/A</v>
      </c>
      <c r="D31" s="16" t="e">
        <f>D19+D11</f>
        <v>#N/A</v>
      </c>
      <c r="E31" s="16" t="e">
        <f t="shared" ref="E31:H31" si="17">E19+E11</f>
        <v>#N/A</v>
      </c>
      <c r="F31" s="16" t="e">
        <f t="shared" si="17"/>
        <v>#N/A</v>
      </c>
      <c r="G31" s="16" t="e">
        <f t="shared" si="17"/>
        <v>#N/A</v>
      </c>
      <c r="H31" s="16" t="e">
        <f t="shared" si="17"/>
        <v>#N/A</v>
      </c>
      <c r="I31" s="16" t="e">
        <f>I19+I11</f>
        <v>#N/A</v>
      </c>
      <c r="K31" s="3" t="str">
        <f t="shared" ref="K31:K35" si="18">A31</f>
        <v>Total No. of Vehicles (incl. back-up and support)</v>
      </c>
      <c r="L31" s="3"/>
      <c r="M31" s="16" t="e">
        <f>M19+M11</f>
        <v>#N/A</v>
      </c>
      <c r="N31" s="16" t="e">
        <f>N19+N11</f>
        <v>#N/A</v>
      </c>
      <c r="O31" s="16" t="e">
        <f>O19+O11</f>
        <v>#N/A</v>
      </c>
      <c r="P31" s="16" t="e">
        <f t="shared" ref="P31:S31" si="19">P19+P11</f>
        <v>#N/A</v>
      </c>
      <c r="Q31" s="16" t="e">
        <f t="shared" si="19"/>
        <v>#N/A</v>
      </c>
      <c r="R31" s="16" t="e">
        <f t="shared" si="19"/>
        <v>#N/A</v>
      </c>
      <c r="S31" s="16" t="e">
        <f t="shared" si="19"/>
        <v>#N/A</v>
      </c>
      <c r="U31" s="3" t="s">
        <v>263</v>
      </c>
      <c r="V31" s="259">
        <f>V19+V11</f>
        <v>1</v>
      </c>
      <c r="W31" s="259" t="e">
        <f>W19+W11</f>
        <v>#N/A</v>
      </c>
      <c r="X31" s="259" t="e">
        <f>X19+X11</f>
        <v>#N/A</v>
      </c>
      <c r="Y31" s="259" t="e">
        <f>Y19+Y11</f>
        <v>#N/A</v>
      </c>
      <c r="Z31" s="259" t="e">
        <f t="shared" ref="Z31" si="20">Z19+Z11</f>
        <v>#N/A</v>
      </c>
      <c r="AA31" s="1" t="s">
        <v>490</v>
      </c>
      <c r="AB31" s="3" t="str">
        <f t="shared" ref="AB31:AB35" si="21">A31</f>
        <v>Total No. of Vehicles (incl. back-up and support)</v>
      </c>
      <c r="AC31" s="267"/>
      <c r="AD31" s="375">
        <f>AD19+AD11</f>
        <v>1</v>
      </c>
      <c r="AE31" s="259" t="e">
        <f>AE19+AE11</f>
        <v>#N/A</v>
      </c>
      <c r="AF31" s="259" t="e">
        <f>AF19+AF11</f>
        <v>#N/A</v>
      </c>
      <c r="AG31" s="259" t="e">
        <f>AG19+AG11</f>
        <v>#N/A</v>
      </c>
      <c r="AH31" s="259" t="e">
        <f>AH19+AH11</f>
        <v>#N/A</v>
      </c>
      <c r="AI31" s="1" t="s">
        <v>490</v>
      </c>
    </row>
    <row r="32" spans="1:35" x14ac:dyDescent="0.3">
      <c r="A32" s="3" t="s">
        <v>59</v>
      </c>
      <c r="B32" s="3" t="s">
        <v>263</v>
      </c>
      <c r="C32" s="17" t="e">
        <f>C13+C20+C25</f>
        <v>#N/A</v>
      </c>
      <c r="D32" s="17" t="e">
        <f t="shared" ref="D32:I32" si="22">D15+D22+D27</f>
        <v>#N/A</v>
      </c>
      <c r="E32" s="17" t="e">
        <f t="shared" si="22"/>
        <v>#N/A</v>
      </c>
      <c r="F32" s="17" t="e">
        <f t="shared" si="22"/>
        <v>#N/A</v>
      </c>
      <c r="G32" s="17" t="e">
        <f t="shared" si="22"/>
        <v>#N/A</v>
      </c>
      <c r="H32" s="17" t="e">
        <f t="shared" si="22"/>
        <v>#N/A</v>
      </c>
      <c r="I32" s="17" t="e">
        <f t="shared" si="22"/>
        <v>#N/A</v>
      </c>
      <c r="K32" s="3" t="str">
        <f t="shared" si="18"/>
        <v>Total Capital Cost</v>
      </c>
      <c r="L32" s="3" t="str">
        <f>B32</f>
        <v>Calc</v>
      </c>
      <c r="M32" s="17" t="e">
        <f>M13+M20+M25</f>
        <v>#N/A</v>
      </c>
      <c r="N32" s="17" t="e">
        <f t="shared" ref="N32:S32" si="23">N15+N22+N27</f>
        <v>#N/A</v>
      </c>
      <c r="O32" s="17" t="e">
        <f t="shared" si="23"/>
        <v>#N/A</v>
      </c>
      <c r="P32" s="17" t="e">
        <f t="shared" si="23"/>
        <v>#N/A</v>
      </c>
      <c r="Q32" s="17" t="e">
        <f t="shared" si="23"/>
        <v>#N/A</v>
      </c>
      <c r="R32" s="17" t="e">
        <f t="shared" si="23"/>
        <v>#N/A</v>
      </c>
      <c r="S32" s="17" t="e">
        <f t="shared" si="23"/>
        <v>#N/A</v>
      </c>
      <c r="U32" s="3" t="s">
        <v>263</v>
      </c>
      <c r="V32" s="293">
        <f t="shared" ref="V32:Z32" si="24">V15+V22+V27</f>
        <v>196620.28334898315</v>
      </c>
      <c r="W32" s="258" t="e">
        <f t="shared" si="24"/>
        <v>#N/A</v>
      </c>
      <c r="X32" s="293" t="e">
        <f>X15+X22+X27</f>
        <v>#N/A</v>
      </c>
      <c r="Y32" s="293" t="e">
        <f>Y15+Y22+Y27</f>
        <v>#N/A</v>
      </c>
      <c r="Z32" s="258" t="e">
        <f t="shared" si="24"/>
        <v>#N/A</v>
      </c>
      <c r="AA32" s="1" t="s">
        <v>490</v>
      </c>
      <c r="AB32" s="3" t="str">
        <f t="shared" si="21"/>
        <v>Total Capital Cost</v>
      </c>
      <c r="AC32" s="267"/>
      <c r="AD32" s="743">
        <f>AD15+AD22+AD27</f>
        <v>196620.28334898315</v>
      </c>
      <c r="AE32" s="743" t="e">
        <f t="shared" ref="AE32:AH32" si="25">AE15+AE22+AE27</f>
        <v>#N/A</v>
      </c>
      <c r="AF32" s="743" t="e">
        <f t="shared" si="25"/>
        <v>#N/A</v>
      </c>
      <c r="AG32" s="743" t="e">
        <f t="shared" si="25"/>
        <v>#N/A</v>
      </c>
      <c r="AH32" s="743" t="e">
        <f t="shared" si="25"/>
        <v>#N/A</v>
      </c>
      <c r="AI32" s="1" t="s">
        <v>490</v>
      </c>
    </row>
    <row r="33" spans="1:35" x14ac:dyDescent="0.3">
      <c r="A33" s="3" t="s">
        <v>1054</v>
      </c>
      <c r="B33" s="3" t="s">
        <v>263</v>
      </c>
      <c r="C33" s="17" t="e">
        <f>C14+C21+C26</f>
        <v>#N/A</v>
      </c>
      <c r="D33" s="17" t="e">
        <f t="shared" ref="D33:I33" si="26">D14+D21+D26</f>
        <v>#N/A</v>
      </c>
      <c r="E33" s="17" t="e">
        <f t="shared" si="26"/>
        <v>#N/A</v>
      </c>
      <c r="F33" s="17" t="e">
        <f t="shared" si="26"/>
        <v>#N/A</v>
      </c>
      <c r="G33" s="17" t="e">
        <f t="shared" si="26"/>
        <v>#N/A</v>
      </c>
      <c r="H33" s="17" t="e">
        <f t="shared" si="26"/>
        <v>#N/A</v>
      </c>
      <c r="I33" s="17" t="e">
        <f t="shared" si="26"/>
        <v>#N/A</v>
      </c>
      <c r="K33" s="3" t="str">
        <f t="shared" si="18"/>
        <v>Annual Capital Cost</v>
      </c>
      <c r="L33" s="3" t="str">
        <f>B33</f>
        <v>Calc</v>
      </c>
      <c r="M33" s="17" t="e">
        <f>M14+M21+M26</f>
        <v>#N/A</v>
      </c>
      <c r="N33" s="17" t="e">
        <f t="shared" ref="N33:S33" si="27">N14+N21+N26</f>
        <v>#N/A</v>
      </c>
      <c r="O33" s="17" t="e">
        <f t="shared" si="27"/>
        <v>#N/A</v>
      </c>
      <c r="P33" s="17" t="e">
        <f t="shared" si="27"/>
        <v>#N/A</v>
      </c>
      <c r="Q33" s="17" t="e">
        <f t="shared" si="27"/>
        <v>#N/A</v>
      </c>
      <c r="R33" s="17" t="e">
        <f t="shared" si="27"/>
        <v>#N/A</v>
      </c>
      <c r="S33" s="17" t="e">
        <f t="shared" si="27"/>
        <v>#N/A</v>
      </c>
      <c r="U33" s="3" t="s">
        <v>263</v>
      </c>
      <c r="V33" s="293">
        <f>V14+V21+V26</f>
        <v>28088.611906997594</v>
      </c>
      <c r="W33" s="293" t="e">
        <f>W14+W21+W26</f>
        <v>#N/A</v>
      </c>
      <c r="X33" s="293" t="e">
        <f t="shared" ref="X33:Z33" si="28">X14+X21+X26</f>
        <v>#N/A</v>
      </c>
      <c r="Y33" s="293" t="e">
        <f t="shared" si="28"/>
        <v>#N/A</v>
      </c>
      <c r="Z33" s="293" t="e">
        <f t="shared" si="28"/>
        <v>#N/A</v>
      </c>
      <c r="AB33" s="3" t="str">
        <f t="shared" si="21"/>
        <v>Annual Capital Cost</v>
      </c>
      <c r="AC33" s="267"/>
      <c r="AD33" s="743">
        <f>AD14+AD21+AD26</f>
        <v>28088.611906997594</v>
      </c>
      <c r="AE33" s="743" t="e">
        <f t="shared" ref="AE33:AH33" si="29">AE14+AE21+AE26</f>
        <v>#N/A</v>
      </c>
      <c r="AF33" s="743" t="e">
        <f t="shared" si="29"/>
        <v>#N/A</v>
      </c>
      <c r="AG33" s="743" t="e">
        <f t="shared" si="29"/>
        <v>#N/A</v>
      </c>
      <c r="AH33" s="743" t="e">
        <f t="shared" si="29"/>
        <v>#N/A</v>
      </c>
    </row>
    <row r="34" spans="1:35" x14ac:dyDescent="0.3">
      <c r="A34" s="3" t="s">
        <v>1055</v>
      </c>
      <c r="B34" s="3" t="s">
        <v>263</v>
      </c>
      <c r="C34" s="17" t="e">
        <f t="shared" ref="C34:I34" si="30">C16+C17+C18+C23+C28</f>
        <v>#N/A</v>
      </c>
      <c r="D34" s="17" t="e">
        <f t="shared" si="30"/>
        <v>#N/A</v>
      </c>
      <c r="E34" s="17" t="e">
        <f t="shared" si="30"/>
        <v>#N/A</v>
      </c>
      <c r="F34" s="17" t="e">
        <f t="shared" si="30"/>
        <v>#N/A</v>
      </c>
      <c r="G34" s="17" t="e">
        <f t="shared" si="30"/>
        <v>#N/A</v>
      </c>
      <c r="H34" s="17" t="e">
        <f t="shared" si="30"/>
        <v>#N/A</v>
      </c>
      <c r="I34" s="17" t="e">
        <f t="shared" si="30"/>
        <v>#N/A</v>
      </c>
      <c r="K34" s="3" t="str">
        <f t="shared" si="18"/>
        <v>Annual Operations &amp; Maintenance Cost</v>
      </c>
      <c r="L34" s="3" t="str">
        <f>B34</f>
        <v>Calc</v>
      </c>
      <c r="M34" s="17" t="e">
        <f t="shared" ref="M34:S34" si="31">M16+M17+M18+M23+M28</f>
        <v>#N/A</v>
      </c>
      <c r="N34" s="17" t="e">
        <f t="shared" si="31"/>
        <v>#N/A</v>
      </c>
      <c r="O34" s="17" t="e">
        <f t="shared" si="31"/>
        <v>#N/A</v>
      </c>
      <c r="P34" s="17" t="e">
        <f t="shared" si="31"/>
        <v>#N/A</v>
      </c>
      <c r="Q34" s="17" t="e">
        <f t="shared" si="31"/>
        <v>#N/A</v>
      </c>
      <c r="R34" s="17" t="e">
        <f t="shared" si="31"/>
        <v>#N/A</v>
      </c>
      <c r="S34" s="17" t="e">
        <f t="shared" si="31"/>
        <v>#N/A</v>
      </c>
      <c r="U34" s="3" t="s">
        <v>263</v>
      </c>
      <c r="V34" s="293">
        <f>V16+V17+V18+V23+V28</f>
        <v>42000</v>
      </c>
      <c r="W34" s="293" t="e">
        <f>W16+W17+W18+W23+W28</f>
        <v>#N/A</v>
      </c>
      <c r="X34" s="293" t="e">
        <f>X16+X17+X18+X23+X28</f>
        <v>#N/A</v>
      </c>
      <c r="Y34" s="293" t="e">
        <f>Y16+Y17+Y18+Y23+Y28</f>
        <v>#N/A</v>
      </c>
      <c r="Z34" s="293" t="e">
        <f>Z16+Z17+Z18+Z23+Z28</f>
        <v>#N/A</v>
      </c>
      <c r="AA34" s="1" t="s">
        <v>490</v>
      </c>
      <c r="AB34" s="3" t="str">
        <f t="shared" si="21"/>
        <v>Annual Operations &amp; Maintenance Cost</v>
      </c>
      <c r="AC34" s="267"/>
      <c r="AD34" s="743">
        <f>AD16+AD17+AD18+AD23+AD28</f>
        <v>42000</v>
      </c>
      <c r="AE34" s="743" t="e">
        <f t="shared" ref="AE34:AH34" si="32">AE16+AE17+AE18+AE23+AE28</f>
        <v>#N/A</v>
      </c>
      <c r="AF34" s="743" t="e">
        <f t="shared" si="32"/>
        <v>#N/A</v>
      </c>
      <c r="AG34" s="743" t="e">
        <f t="shared" si="32"/>
        <v>#N/A</v>
      </c>
      <c r="AH34" s="743" t="e">
        <f t="shared" si="32"/>
        <v>#N/A</v>
      </c>
      <c r="AI34" s="1" t="s">
        <v>490</v>
      </c>
    </row>
    <row r="35" spans="1:35" x14ac:dyDescent="0.3">
      <c r="A35" s="3" t="s">
        <v>1058</v>
      </c>
      <c r="B35" s="3" t="s">
        <v>263</v>
      </c>
      <c r="C35" s="17" t="e">
        <f>C33+C34</f>
        <v>#N/A</v>
      </c>
      <c r="D35" s="17" t="e">
        <f t="shared" ref="D35:I35" si="33">D33+D34</f>
        <v>#N/A</v>
      </c>
      <c r="E35" s="17" t="e">
        <f t="shared" si="33"/>
        <v>#N/A</v>
      </c>
      <c r="F35" s="17" t="e">
        <f t="shared" si="33"/>
        <v>#N/A</v>
      </c>
      <c r="G35" s="17" t="e">
        <f t="shared" si="33"/>
        <v>#N/A</v>
      </c>
      <c r="H35" s="17" t="e">
        <f t="shared" si="33"/>
        <v>#N/A</v>
      </c>
      <c r="I35" s="17" t="e">
        <f t="shared" si="33"/>
        <v>#N/A</v>
      </c>
      <c r="K35" s="3" t="str">
        <f t="shared" si="18"/>
        <v>Total Annual Collection Cost</v>
      </c>
      <c r="L35" s="3" t="str">
        <f>B35</f>
        <v>Calc</v>
      </c>
      <c r="M35" s="17" t="e">
        <f>M33+M34</f>
        <v>#N/A</v>
      </c>
      <c r="N35" s="17" t="e">
        <f t="shared" ref="N35" si="34">N33+N34</f>
        <v>#N/A</v>
      </c>
      <c r="O35" s="17" t="e">
        <f t="shared" ref="O35" si="35">O33+O34</f>
        <v>#N/A</v>
      </c>
      <c r="P35" s="17" t="e">
        <f t="shared" ref="P35" si="36">P33+P34</f>
        <v>#N/A</v>
      </c>
      <c r="Q35" s="17" t="e">
        <f t="shared" ref="Q35" si="37">Q33+Q34</f>
        <v>#N/A</v>
      </c>
      <c r="R35" s="17" t="e">
        <f t="shared" ref="R35" si="38">R33+R34</f>
        <v>#N/A</v>
      </c>
      <c r="S35" s="17" t="e">
        <f t="shared" ref="S35" si="39">S33+S34</f>
        <v>#N/A</v>
      </c>
      <c r="U35" s="3" t="s">
        <v>294</v>
      </c>
      <c r="V35" s="293">
        <f>V33+V34</f>
        <v>70088.611906997598</v>
      </c>
      <c r="W35" s="293" t="e">
        <f t="shared" ref="W35:Z35" si="40">W33+W34</f>
        <v>#N/A</v>
      </c>
      <c r="X35" s="293" t="e">
        <f t="shared" si="40"/>
        <v>#N/A</v>
      </c>
      <c r="Y35" s="293" t="e">
        <f t="shared" si="40"/>
        <v>#N/A</v>
      </c>
      <c r="Z35" s="293" t="e">
        <f t="shared" si="40"/>
        <v>#N/A</v>
      </c>
      <c r="AA35" s="1" t="s">
        <v>490</v>
      </c>
      <c r="AB35" s="3" t="str">
        <f t="shared" si="21"/>
        <v>Total Annual Collection Cost</v>
      </c>
      <c r="AC35" s="267"/>
      <c r="AD35" s="743">
        <f t="shared" ref="AD35" si="41">AD33+AD34</f>
        <v>70088.611906997598</v>
      </c>
      <c r="AE35" s="743" t="e">
        <f t="shared" ref="AE35" si="42">AE33+AE34</f>
        <v>#N/A</v>
      </c>
      <c r="AF35" s="743" t="e">
        <f t="shared" ref="AF35" si="43">AF33+AF34</f>
        <v>#N/A</v>
      </c>
      <c r="AG35" s="743" t="e">
        <f t="shared" ref="AG35" si="44">AG33+AG34</f>
        <v>#N/A</v>
      </c>
      <c r="AH35" s="743" t="e">
        <f t="shared" ref="AH35" si="45">AH33+AH34</f>
        <v>#N/A</v>
      </c>
      <c r="AI35" s="1" t="s">
        <v>490</v>
      </c>
    </row>
    <row r="37" spans="1:35" x14ac:dyDescent="0.3">
      <c r="C37" s="313"/>
      <c r="K37" s="2" t="s">
        <v>314</v>
      </c>
      <c r="AB37" s="2" t="s">
        <v>314</v>
      </c>
      <c r="AC37" s="2"/>
    </row>
    <row r="38" spans="1:35" x14ac:dyDescent="0.3">
      <c r="K38" s="114" t="s">
        <v>313</v>
      </c>
      <c r="L38" s="114"/>
      <c r="M38" s="115" t="e">
        <f t="shared" ref="M38:S38" si="46">M31-C31</f>
        <v>#N/A</v>
      </c>
      <c r="N38" s="115" t="e">
        <f t="shared" si="46"/>
        <v>#N/A</v>
      </c>
      <c r="O38" s="115" t="e">
        <f t="shared" si="46"/>
        <v>#N/A</v>
      </c>
      <c r="P38" s="115" t="e">
        <f t="shared" si="46"/>
        <v>#N/A</v>
      </c>
      <c r="Q38" s="115" t="e">
        <f t="shared" si="46"/>
        <v>#N/A</v>
      </c>
      <c r="R38" s="115" t="e">
        <f t="shared" si="46"/>
        <v>#N/A</v>
      </c>
      <c r="S38" s="115" t="e">
        <f t="shared" si="46"/>
        <v>#N/A</v>
      </c>
      <c r="AB38" s="3" t="s">
        <v>313</v>
      </c>
      <c r="AC38" s="267"/>
      <c r="AD38" s="375">
        <f>AD31-V31</f>
        <v>0</v>
      </c>
      <c r="AE38" s="259" t="e">
        <f>AE31-W31</f>
        <v>#N/A</v>
      </c>
      <c r="AF38" s="259" t="e">
        <f>AF31-X31</f>
        <v>#N/A</v>
      </c>
      <c r="AG38" s="259" t="e">
        <f>AG31-Y31</f>
        <v>#N/A</v>
      </c>
      <c r="AH38" s="259" t="e">
        <f>AH31-Z31</f>
        <v>#N/A</v>
      </c>
      <c r="AI38" s="1" t="s">
        <v>490</v>
      </c>
    </row>
    <row r="39" spans="1:35" x14ac:dyDescent="0.3">
      <c r="C39" s="21"/>
      <c r="K39" s="114" t="str">
        <f t="shared" ref="K39:K41" si="47">K32</f>
        <v>Total Capital Cost</v>
      </c>
      <c r="L39" s="114" t="s">
        <v>263</v>
      </c>
      <c r="M39" s="116" t="e">
        <f t="shared" ref="M39:M42" si="48">M32-C32</f>
        <v>#N/A</v>
      </c>
      <c r="N39" s="116" t="e">
        <f t="shared" ref="N39:N42" si="49">N32-D32</f>
        <v>#N/A</v>
      </c>
      <c r="O39" s="116" t="e">
        <f t="shared" ref="O39:O42" si="50">O32-E32</f>
        <v>#N/A</v>
      </c>
      <c r="P39" s="116" t="e">
        <f t="shared" ref="P39:P42" si="51">P32-F32</f>
        <v>#N/A</v>
      </c>
      <c r="Q39" s="116" t="e">
        <f t="shared" ref="Q39:Q42" si="52">Q32-G32</f>
        <v>#N/A</v>
      </c>
      <c r="R39" s="116" t="e">
        <f t="shared" ref="R39:R42" si="53">R32-H32</f>
        <v>#N/A</v>
      </c>
      <c r="S39" s="116" t="e">
        <f>S32-I32</f>
        <v>#N/A</v>
      </c>
      <c r="AB39" s="114" t="str">
        <f t="shared" ref="AB39:AB41" si="54">AB32</f>
        <v>Total Capital Cost</v>
      </c>
      <c r="AC39" s="267"/>
      <c r="AD39" s="742">
        <f>AD32-V32</f>
        <v>0</v>
      </c>
      <c r="AE39" s="742" t="e">
        <f>AE32-W32</f>
        <v>#N/A</v>
      </c>
      <c r="AF39" s="742" t="e">
        <f t="shared" ref="AF39:AG39" si="55">AF32-X32</f>
        <v>#N/A</v>
      </c>
      <c r="AG39" s="742" t="e">
        <f t="shared" si="55"/>
        <v>#N/A</v>
      </c>
      <c r="AH39" s="742" t="e">
        <f>AH32-Z32</f>
        <v>#N/A</v>
      </c>
      <c r="AI39" s="1" t="s">
        <v>490</v>
      </c>
    </row>
    <row r="40" spans="1:35" x14ac:dyDescent="0.3">
      <c r="A40" s="149"/>
      <c r="E40" s="149"/>
      <c r="F40" s="149"/>
      <c r="G40" s="149"/>
      <c r="K40" s="114" t="str">
        <f t="shared" si="47"/>
        <v>Annual Capital Cost</v>
      </c>
      <c r="L40" s="114" t="s">
        <v>263</v>
      </c>
      <c r="M40" s="116" t="e">
        <f t="shared" si="48"/>
        <v>#N/A</v>
      </c>
      <c r="N40" s="116" t="e">
        <f t="shared" si="49"/>
        <v>#N/A</v>
      </c>
      <c r="O40" s="116" t="e">
        <f t="shared" si="50"/>
        <v>#N/A</v>
      </c>
      <c r="P40" s="116" t="e">
        <f t="shared" si="51"/>
        <v>#N/A</v>
      </c>
      <c r="Q40" s="116" t="e">
        <f t="shared" si="52"/>
        <v>#N/A</v>
      </c>
      <c r="R40" s="116" t="e">
        <f t="shared" si="53"/>
        <v>#N/A</v>
      </c>
      <c r="S40" s="116" t="e">
        <f t="shared" ref="S40:S42" si="56">S33-I33</f>
        <v>#N/A</v>
      </c>
      <c r="AB40" s="114" t="str">
        <f t="shared" si="54"/>
        <v>Annual Capital Cost</v>
      </c>
      <c r="AD40" s="742">
        <f t="shared" ref="AD40:AD42" si="57">AD33-V33</f>
        <v>0</v>
      </c>
      <c r="AE40" s="742" t="e">
        <f t="shared" ref="AE40:AE42" si="58">AE33-W33</f>
        <v>#N/A</v>
      </c>
      <c r="AF40" s="742" t="e">
        <f t="shared" ref="AF40:AF42" si="59">AF33-X33</f>
        <v>#N/A</v>
      </c>
      <c r="AG40" s="742" t="e">
        <f t="shared" ref="AG40:AG42" si="60">AG33-Y33</f>
        <v>#N/A</v>
      </c>
      <c r="AH40" s="742" t="e">
        <f t="shared" ref="AH40:AH42" si="61">AH33-Z33</f>
        <v>#N/A</v>
      </c>
      <c r="AI40" s="1" t="s">
        <v>490</v>
      </c>
    </row>
    <row r="41" spans="1:35" x14ac:dyDescent="0.3">
      <c r="A41" s="149"/>
      <c r="G41" s="149"/>
      <c r="K41" s="114" t="str">
        <f t="shared" si="47"/>
        <v>Annual Operations &amp; Maintenance Cost</v>
      </c>
      <c r="L41" s="114" t="s">
        <v>263</v>
      </c>
      <c r="M41" s="116" t="e">
        <f t="shared" si="48"/>
        <v>#N/A</v>
      </c>
      <c r="N41" s="116" t="e">
        <f t="shared" si="49"/>
        <v>#N/A</v>
      </c>
      <c r="O41" s="116" t="e">
        <f t="shared" si="50"/>
        <v>#N/A</v>
      </c>
      <c r="P41" s="116" t="e">
        <f t="shared" si="51"/>
        <v>#N/A</v>
      </c>
      <c r="Q41" s="116" t="e">
        <f t="shared" si="52"/>
        <v>#N/A</v>
      </c>
      <c r="R41" s="116" t="e">
        <f t="shared" si="53"/>
        <v>#N/A</v>
      </c>
      <c r="S41" s="116" t="e">
        <f t="shared" si="56"/>
        <v>#N/A</v>
      </c>
      <c r="AB41" s="114" t="str">
        <f t="shared" si="54"/>
        <v>Annual Operations &amp; Maintenance Cost</v>
      </c>
      <c r="AC41" s="267"/>
      <c r="AD41" s="742">
        <f t="shared" si="57"/>
        <v>0</v>
      </c>
      <c r="AE41" s="742" t="e">
        <f t="shared" si="58"/>
        <v>#N/A</v>
      </c>
      <c r="AF41" s="742" t="e">
        <f t="shared" si="59"/>
        <v>#N/A</v>
      </c>
      <c r="AG41" s="742" t="e">
        <f t="shared" si="60"/>
        <v>#N/A</v>
      </c>
      <c r="AH41" s="742" t="e">
        <f t="shared" si="61"/>
        <v>#N/A</v>
      </c>
      <c r="AI41" s="1" t="s">
        <v>490</v>
      </c>
    </row>
    <row r="42" spans="1:35" x14ac:dyDescent="0.3">
      <c r="A42" s="318"/>
      <c r="B42" s="318"/>
      <c r="C42" s="318"/>
      <c r="D42" s="318"/>
      <c r="E42" s="318"/>
      <c r="F42" s="318"/>
      <c r="G42" s="318"/>
      <c r="K42" s="114" t="str">
        <f>K35</f>
        <v>Total Annual Collection Cost</v>
      </c>
      <c r="L42" s="114" t="s">
        <v>263</v>
      </c>
      <c r="M42" s="116" t="e">
        <f t="shared" si="48"/>
        <v>#N/A</v>
      </c>
      <c r="N42" s="116" t="e">
        <f t="shared" si="49"/>
        <v>#N/A</v>
      </c>
      <c r="O42" s="116" t="e">
        <f t="shared" si="50"/>
        <v>#N/A</v>
      </c>
      <c r="P42" s="116" t="e">
        <f t="shared" si="51"/>
        <v>#N/A</v>
      </c>
      <c r="Q42" s="116" t="e">
        <f t="shared" si="52"/>
        <v>#N/A</v>
      </c>
      <c r="R42" s="116" t="e">
        <f t="shared" si="53"/>
        <v>#N/A</v>
      </c>
      <c r="S42" s="116" t="e">
        <f t="shared" si="56"/>
        <v>#N/A</v>
      </c>
      <c r="AB42" s="114" t="str">
        <f>AB35</f>
        <v>Total Annual Collection Cost</v>
      </c>
      <c r="AC42" s="267"/>
      <c r="AD42" s="742">
        <f t="shared" si="57"/>
        <v>0</v>
      </c>
      <c r="AE42" s="742" t="e">
        <f t="shared" si="58"/>
        <v>#N/A</v>
      </c>
      <c r="AF42" s="742" t="e">
        <f t="shared" si="59"/>
        <v>#N/A</v>
      </c>
      <c r="AG42" s="742" t="e">
        <f t="shared" si="60"/>
        <v>#N/A</v>
      </c>
      <c r="AH42" s="742" t="e">
        <f t="shared" si="61"/>
        <v>#N/A</v>
      </c>
      <c r="AI42" s="1" t="s">
        <v>490</v>
      </c>
    </row>
    <row r="43" spans="1:35" x14ac:dyDescent="0.3">
      <c r="A43" s="275"/>
      <c r="B43" s="295"/>
      <c r="C43" s="295"/>
      <c r="D43" s="295"/>
      <c r="E43" s="295"/>
      <c r="F43" s="22"/>
      <c r="G43" s="163"/>
      <c r="H43" s="318"/>
      <c r="K43" s="114" t="s">
        <v>1057</v>
      </c>
      <c r="L43" s="114" t="s">
        <v>263</v>
      </c>
      <c r="M43" s="116" t="e">
        <f>-IF(Input!$C$22="No (model will use default)",VLOOKUP(Input!$C$6,DropDowns_LookUps!$A$27:$I$33,3),Input!$D$24)*TonnageImpacts!C13</f>
        <v>#N/A</v>
      </c>
      <c r="N43" s="116" t="e">
        <f>-IF(Input!$C$22="No (model will use default)",VLOOKUP(Input!$C$6,DropDowns_LookUps!$A$27:$I$33,3),Input!$D$24)*TonnageImpacts!D13</f>
        <v>#N/A</v>
      </c>
      <c r="O43" s="116" t="e">
        <f>-IF(Input!$C$22="No (model will use default)",VLOOKUP(Input!$C$6,DropDowns_LookUps!$A$27:$I$33,3),Input!$D$24)*TonnageImpacts!E13</f>
        <v>#N/A</v>
      </c>
      <c r="P43" s="116" t="e">
        <f>-IF(Input!$C$22="No (model will use default)",VLOOKUP(Input!$C$6,DropDowns_LookUps!$A$27:$I$33,3),Input!$D$24)*TonnageImpacts!F13</f>
        <v>#N/A</v>
      </c>
      <c r="Q43" s="116" t="e">
        <f>-IF(Input!$C$22="No (model will use default)",VLOOKUP(Input!$C$6,DropDowns_LookUps!$A$27:$I$33,3),Input!$D$24)*TonnageImpacts!G13</f>
        <v>#N/A</v>
      </c>
      <c r="R43" s="116" t="e">
        <f>-IF(Input!$C$22="No (model will use default)",VLOOKUP(Input!$C$6,DropDowns_LookUps!$A$27:$I$33,4),Input!$D$24)*TonnageImpacts!H13</f>
        <v>#N/A</v>
      </c>
      <c r="S43" s="116" t="e">
        <f>-IF(Input!$C$22="No (model will use default)",VLOOKUP(Input!$C$6,DropDowns_LookUps!$A$27:$I$33,4),Input!$D$24)*TonnageImpacts!I13</f>
        <v>#N/A</v>
      </c>
      <c r="AB43" s="114" t="s">
        <v>1069</v>
      </c>
      <c r="AC43" s="267"/>
      <c r="AD43" s="742" t="e">
        <f>-Input!$E$38*TonnageImpacts!K13</f>
        <v>#N/A</v>
      </c>
      <c r="AE43" s="742" t="e">
        <f>-Input!$E$38*TonnageImpacts!L13</f>
        <v>#N/A</v>
      </c>
      <c r="AF43" s="742" t="e">
        <f>-Input!$E$38*TonnageImpacts!M13</f>
        <v>#N/A</v>
      </c>
      <c r="AG43" s="742" t="e">
        <f>-Input!$E$38*TonnageImpacts!N13</f>
        <v>#N/A</v>
      </c>
      <c r="AH43" s="742" t="e">
        <f>-Input!$E$38*TonnageImpacts!O13</f>
        <v>#N/A</v>
      </c>
    </row>
    <row r="44" spans="1:35" x14ac:dyDescent="0.3">
      <c r="B44" s="319"/>
      <c r="C44" s="320"/>
      <c r="K44" s="114" t="s">
        <v>1060</v>
      </c>
      <c r="L44" s="114" t="s">
        <v>263</v>
      </c>
      <c r="M44" s="116" t="e">
        <f>M43+M42</f>
        <v>#N/A</v>
      </c>
      <c r="N44" s="116" t="e">
        <f t="shared" ref="N44:S44" si="62">N43+N42</f>
        <v>#N/A</v>
      </c>
      <c r="O44" s="116" t="e">
        <f t="shared" si="62"/>
        <v>#N/A</v>
      </c>
      <c r="P44" s="116" t="e">
        <f t="shared" si="62"/>
        <v>#N/A</v>
      </c>
      <c r="Q44" s="116" t="e">
        <f t="shared" si="62"/>
        <v>#N/A</v>
      </c>
      <c r="R44" s="116" t="e">
        <f t="shared" si="62"/>
        <v>#N/A</v>
      </c>
      <c r="S44" s="116" t="e">
        <f t="shared" si="62"/>
        <v>#N/A</v>
      </c>
      <c r="AB44" s="114" t="s">
        <v>1060</v>
      </c>
      <c r="AC44" s="267"/>
      <c r="AD44" s="742" t="e">
        <f>AD43+AD42</f>
        <v>#N/A</v>
      </c>
      <c r="AE44" s="742" t="e">
        <f>AE43+AE42</f>
        <v>#N/A</v>
      </c>
      <c r="AF44" s="742" t="e">
        <f t="shared" ref="AF44:AH44" si="63">AF43+AF42</f>
        <v>#N/A</v>
      </c>
      <c r="AG44" s="742" t="e">
        <f t="shared" si="63"/>
        <v>#N/A</v>
      </c>
      <c r="AH44" s="742" t="e">
        <f t="shared" si="63"/>
        <v>#N/A</v>
      </c>
    </row>
    <row r="45" spans="1:35" x14ac:dyDescent="0.3">
      <c r="N45" s="22"/>
      <c r="O45" s="22"/>
      <c r="P45" s="22"/>
      <c r="Q45" s="22"/>
      <c r="R45" s="22"/>
      <c r="S45" s="22"/>
    </row>
    <row r="46" spans="1:35" x14ac:dyDescent="0.3">
      <c r="N46" s="151"/>
      <c r="O46" s="22"/>
      <c r="P46" s="22"/>
      <c r="Q46" s="22"/>
      <c r="R46" s="22"/>
      <c r="S46" s="22"/>
    </row>
  </sheetData>
  <customSheetViews>
    <customSheetView guid="{C6E026A6-065F-4BC7-8A1C-5537BAE31A06}" state="hidden">
      <pageMargins left="0" right="0" top="0" bottom="0" header="0" footer="0"/>
      <pageSetup orientation="portrait" horizontalDpi="4294967293" verticalDpi="0" r:id="rId1"/>
    </customSheetView>
    <customSheetView guid="{C1E42E27-80DF-5D46-A74B-2BA4AA86045C}" state="hidden">
      <pageMargins left="0" right="0" top="0" bottom="0" header="0" footer="0"/>
      <pageSetup orientation="portrait" horizontalDpi="4294967293" verticalDpi="0" r:id="rId2"/>
    </customSheetView>
    <customSheetView guid="{487CB698-FD0E-4580-BCE5-B1F3904B4ADD}">
      <selection activeCell="A5" sqref="A5"/>
      <pageMargins left="0" right="0" top="0" bottom="0" header="0" footer="0"/>
    </customSheetView>
  </customSheetViews>
  <pageMargins left="0.7" right="0.7" top="0.75" bottom="0.75" header="0.3" footer="0.3"/>
  <pageSetup orientation="portrait" horizontalDpi="4294967293"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b5a9482-671f-4e48-a47f-5d7d2481fbb5">
      <UserInfo>
        <DisplayName>Elisa Seltzer</DisplayName>
        <AccountId>83</AccountId>
        <AccountType/>
      </UserInfo>
    </SharedWithUsers>
    <lcf76f155ced4ddcb4097134ff3c332f xmlns="d6b4d0d5-5796-41d5-a2ec-67f9698c308b">
      <Terms xmlns="http://schemas.microsoft.com/office/infopath/2007/PartnerControls"/>
    </lcf76f155ced4ddcb4097134ff3c332f>
    <TaxCatchAll xmlns="ab5a9482-671f-4e48-a47f-5d7d2481fbb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80AE33BEE9754AAAC1F2C90B41B57C" ma:contentTypeVersion="15" ma:contentTypeDescription="Create a new document." ma:contentTypeScope="" ma:versionID="729f62d8624024f6e95dcf4db4355133">
  <xsd:schema xmlns:xsd="http://www.w3.org/2001/XMLSchema" xmlns:xs="http://www.w3.org/2001/XMLSchema" xmlns:p="http://schemas.microsoft.com/office/2006/metadata/properties" xmlns:ns2="d6b4d0d5-5796-41d5-a2ec-67f9698c308b" xmlns:ns3="ab5a9482-671f-4e48-a47f-5d7d2481fbb5" targetNamespace="http://schemas.microsoft.com/office/2006/metadata/properties" ma:root="true" ma:fieldsID="00ffff1b374724734d93b5709539bb98" ns2:_="" ns3:_="">
    <xsd:import namespace="d6b4d0d5-5796-41d5-a2ec-67f9698c308b"/>
    <xsd:import namespace="ab5a9482-671f-4e48-a47f-5d7d2481fb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4d0d5-5796-41d5-a2ec-67f9698c30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5cd0c5b-7dea-429c-a6ac-48abd345fa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5a9482-671f-4e48-a47f-5d7d2481fbb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1b66f20-ddcf-4c2a-b314-042250682006}" ma:internalName="TaxCatchAll" ma:showField="CatchAllData" ma:web="ab5a9482-671f-4e48-a47f-5d7d2481fb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E4F13A-C296-4B04-BF3E-26CADA54E62A}">
  <ds:schemaRefs>
    <ds:schemaRef ds:uri="http://schemas.microsoft.com/office/2006/documentManagement/types"/>
    <ds:schemaRef ds:uri="http://purl.org/dc/dcmitype/"/>
    <ds:schemaRef ds:uri="ab5a9482-671f-4e48-a47f-5d7d2481fbb5"/>
    <ds:schemaRef ds:uri="http://schemas.microsoft.com/office/infopath/2007/PartnerControls"/>
    <ds:schemaRef ds:uri="http://schemas.openxmlformats.org/package/2006/metadata/core-properties"/>
    <ds:schemaRef ds:uri="http://purl.org/dc/elements/1.1/"/>
    <ds:schemaRef ds:uri="d6b4d0d5-5796-41d5-a2ec-67f9698c308b"/>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790D9BD6-2B7B-4BC4-91F9-BCE3E7FF11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4d0d5-5796-41d5-a2ec-67f9698c308b"/>
    <ds:schemaRef ds:uri="ab5a9482-671f-4e48-a47f-5d7d2481fb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44ADE8-B48A-4D23-92CA-9288CAA21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96</vt:i4>
      </vt:variant>
    </vt:vector>
  </HeadingPairs>
  <TitlesOfParts>
    <vt:vector size="117" baseType="lpstr">
      <vt:lpstr>Instructions</vt:lpstr>
      <vt:lpstr>Input</vt:lpstr>
      <vt:lpstr>Results - Collection</vt:lpstr>
      <vt:lpstr>Results - Hub and Spoke</vt:lpstr>
      <vt:lpstr>Outputs</vt:lpstr>
      <vt:lpstr>AssumptionTables</vt:lpstr>
      <vt:lpstr>DropDowns_LookUps</vt:lpstr>
      <vt:lpstr>TonnageImpacts</vt:lpstr>
      <vt:lpstr>TruckCosts</vt:lpstr>
      <vt:lpstr>CollectionStaffingCosts</vt:lpstr>
      <vt:lpstr>CollectionDisposalSavings</vt:lpstr>
      <vt:lpstr>ContainerCosts</vt:lpstr>
      <vt:lpstr>ASP Model_YW</vt:lpstr>
      <vt:lpstr>Windrow Model_YW</vt:lpstr>
      <vt:lpstr>ASP Model_YW+FW</vt:lpstr>
      <vt:lpstr>Windrow Model_YW+FW</vt:lpstr>
      <vt:lpstr>Compost Equip</vt:lpstr>
      <vt:lpstr>Results - Transfer &amp; Processing</vt:lpstr>
      <vt:lpstr>DropOff Capital Cost</vt:lpstr>
      <vt:lpstr>Transfer &amp; MRF Assumptions</vt:lpstr>
      <vt:lpstr>Transfer &amp; MRF Outputs</vt:lpstr>
      <vt:lpstr>Benefits_Fringes</vt:lpstr>
      <vt:lpstr>'Transfer &amp; MRF Outputs'!Building_Cost_Amortisation</vt:lpstr>
      <vt:lpstr>Building_Cost_Amortisation</vt:lpstr>
      <vt:lpstr>'Transfer &amp; MRF Outputs'!Building_Cost_Sensitivity</vt:lpstr>
      <vt:lpstr>Building_Cost_Sensitivity</vt:lpstr>
      <vt:lpstr>'Transfer &amp; MRF Outputs'!Building_Maintenance</vt:lpstr>
      <vt:lpstr>Building_Maintenance</vt:lpstr>
      <vt:lpstr>Building_Maintenance_Costs</vt:lpstr>
      <vt:lpstr>Building_utilities</vt:lpstr>
      <vt:lpstr>'Transfer &amp; MRF Outputs'!Building_Utility</vt:lpstr>
      <vt:lpstr>Building_Utility</vt:lpstr>
      <vt:lpstr>'Transfer &amp; MRF Assumptions'!DensityDrop</vt:lpstr>
      <vt:lpstr>'Transfer &amp; MRF Outputs'!DensityDrop</vt:lpstr>
      <vt:lpstr>DensityDrop</vt:lpstr>
      <vt:lpstr>'Transfer &amp; MRF Assumptions'!DistancetoLF</vt:lpstr>
      <vt:lpstr>'Transfer &amp; MRF Outputs'!DistancetoLF</vt:lpstr>
      <vt:lpstr>DistancetoLF</vt:lpstr>
      <vt:lpstr>'Transfer &amp; MRF Outputs'!DriverWages</vt:lpstr>
      <vt:lpstr>DriverWages</vt:lpstr>
      <vt:lpstr>'Transfer &amp; MRF Outputs'!Equipment_Amortisation</vt:lpstr>
      <vt:lpstr>Equipment_Amortisation</vt:lpstr>
      <vt:lpstr>'Transfer &amp; MRF Outputs'!Equipment_Sensitivity</vt:lpstr>
      <vt:lpstr>Equipment_Sensitivity</vt:lpstr>
      <vt:lpstr>'Transfer &amp; MRF Outputs'!EquipOperatorWages</vt:lpstr>
      <vt:lpstr>EquipOperatorWages</vt:lpstr>
      <vt:lpstr>Forklift</vt:lpstr>
      <vt:lpstr>'Transfer &amp; MRF Assumptions'!Glass</vt:lpstr>
      <vt:lpstr>'Transfer &amp; MRF Outputs'!Glass</vt:lpstr>
      <vt:lpstr>Glass</vt:lpstr>
      <vt:lpstr>Haul_Cost</vt:lpstr>
      <vt:lpstr>'Transfer &amp; MRF Outputs'!Interest_Rate</vt:lpstr>
      <vt:lpstr>Interest_Rate</vt:lpstr>
      <vt:lpstr>'Transfer &amp; MRF Outputs'!Land_Cost_per_acre</vt:lpstr>
      <vt:lpstr>Land_Cost_per_acre</vt:lpstr>
      <vt:lpstr>'Transfer &amp; MRF Outputs'!Land_Cost_Sensitivity</vt:lpstr>
      <vt:lpstr>Land_Cost_Sensitivity</vt:lpstr>
      <vt:lpstr>'Transfer &amp; MRF Outputs'!LH_Cost_per_Ton_per_Mile</vt:lpstr>
      <vt:lpstr>LH_Cost_per_Ton_per_Mile</vt:lpstr>
      <vt:lpstr>'Transfer &amp; MRF Outputs'!LLoader</vt:lpstr>
      <vt:lpstr>LLoader</vt:lpstr>
      <vt:lpstr>'Transfer &amp; MRF Outputs'!Load_Limit_Rolloff</vt:lpstr>
      <vt:lpstr>Load_Limit_Rolloff</vt:lpstr>
      <vt:lpstr>'Transfer &amp; MRF Outputs'!MaintenaeWages</vt:lpstr>
      <vt:lpstr>MaintenaeWages</vt:lpstr>
      <vt:lpstr>'Transfer &amp; MRF Outputs'!Management_Allowance</vt:lpstr>
      <vt:lpstr>Management_Allowance</vt:lpstr>
      <vt:lpstr>'Transfer &amp; MRF Outputs'!MgmtWages</vt:lpstr>
      <vt:lpstr>MgmtWages</vt:lpstr>
      <vt:lpstr>Number_of_Hh_per_Drop_Off_site</vt:lpstr>
      <vt:lpstr>'Transfer &amp; MRF Outputs'!One_Way_Trip_Long_Haul_to_MRF</vt:lpstr>
      <vt:lpstr>One_Way_Trip_Long_Haul_to_MRF</vt:lpstr>
      <vt:lpstr>'ASP Model_YW'!Pad_Acreage</vt:lpstr>
      <vt:lpstr>'ASP Model_YW+FW'!Pad_Acreage</vt:lpstr>
      <vt:lpstr>'ASP Model_YW'!Pads</vt:lpstr>
      <vt:lpstr>'ASP Model_YW+FW'!Pads</vt:lpstr>
      <vt:lpstr>'Transfer &amp; MRF Assumptions'!ParticipationDrop</vt:lpstr>
      <vt:lpstr>'Transfer &amp; MRF Outputs'!ParticipationDrop</vt:lpstr>
      <vt:lpstr>ParticipationDrop</vt:lpstr>
      <vt:lpstr>PpundsperHH</vt:lpstr>
      <vt:lpstr>Instructions!Print_Area</vt:lpstr>
      <vt:lpstr>Outputs!Print_Area</vt:lpstr>
      <vt:lpstr>'Results - Collection'!Print_Area</vt:lpstr>
      <vt:lpstr>'Results - Transfer &amp; Processing'!Print_Area</vt:lpstr>
      <vt:lpstr>Recycling</vt:lpstr>
      <vt:lpstr>'Transfer &amp; MRF Outputs'!Revenue_Share</vt:lpstr>
      <vt:lpstr>Revenue_Share</vt:lpstr>
      <vt:lpstr>'Transfer &amp; MRF Outputs'!Rolling_Stock_Amortisation</vt:lpstr>
      <vt:lpstr>Rolling_Stock_Amortisation</vt:lpstr>
      <vt:lpstr>'Transfer &amp; MRF Outputs'!Rolling_Stock_Sensitivity</vt:lpstr>
      <vt:lpstr>Rolling_Stock_Sensitivity</vt:lpstr>
      <vt:lpstr>Rolloff_Capacity</vt:lpstr>
      <vt:lpstr>Rollofff_Density</vt:lpstr>
      <vt:lpstr>Rollofff_Utilization_Factor</vt:lpstr>
      <vt:lpstr>'Transfer &amp; MRF Outputs'!ScaleClericalWages</vt:lpstr>
      <vt:lpstr>ScaleClericalWages</vt:lpstr>
      <vt:lpstr>Site_and_Land_Cost_per_acre</vt:lpstr>
      <vt:lpstr>'ASP Model_YW'!Site_Area</vt:lpstr>
      <vt:lpstr>'ASP Model_YW+FW'!Site_Area</vt:lpstr>
      <vt:lpstr>'Transfer &amp; MRF Outputs'!Skidsteer</vt:lpstr>
      <vt:lpstr>Skidsteer</vt:lpstr>
      <vt:lpstr>SLoader</vt:lpstr>
      <vt:lpstr>State_Drop_Down</vt:lpstr>
      <vt:lpstr>StateDropDown</vt:lpstr>
      <vt:lpstr>'Transfer &amp; MRF Outputs'!Tax_Rate</vt:lpstr>
      <vt:lpstr>Tax_Rate</vt:lpstr>
      <vt:lpstr>Transfer_Cost_per__sq_feet</vt:lpstr>
      <vt:lpstr>'Transfer &amp; MRF Outputs'!Workdays_per_Year</vt:lpstr>
      <vt:lpstr>Workdays_per_Year</vt:lpstr>
      <vt:lpstr>'Transfer &amp; MRF Outputs'!Xfer_Fuel</vt:lpstr>
      <vt:lpstr>Xfer_Fuel</vt:lpstr>
      <vt:lpstr>'Transfer &amp; MRF Outputs'!Xfer_Maint</vt:lpstr>
      <vt:lpstr>Xfer_Maint</vt:lpstr>
      <vt:lpstr>'Transfer &amp; MRF Outputs'!Yard_Mule</vt:lpstr>
      <vt:lpstr>Yard_Mule</vt:lpstr>
      <vt:lpstr>'ASP Model_YW'!Zones</vt:lpstr>
      <vt:lpstr>'ASP Model_YW+FW'!Zones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 Freeman</dc:creator>
  <cp:keywords/>
  <dc:description/>
  <cp:lastModifiedBy>Holly Halliwill</cp:lastModifiedBy>
  <cp:revision/>
  <dcterms:created xsi:type="dcterms:W3CDTF">2016-06-30T18:27:54Z</dcterms:created>
  <dcterms:modified xsi:type="dcterms:W3CDTF">2022-11-22T16:10:39Z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0x010100BA80AE33BEE9754AAAC1F2C90B41B57C</vt:lpwstr>
  </property>
  <property fmtid="{D5CDD505-2E9C-101B-9397-08002B2CF9AE}" pid="3" name="MediaServiceImageTags">
    <vt:lpwstr/>
  </property>
</Properties>
</file>